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9345" tabRatio="547" activeTab="0"/>
  </bookViews>
  <sheets>
    <sheet name="Mincer2" sheetId="1" r:id="rId1"/>
    <sheet name="Docu2" sheetId="2" r:id="rId2"/>
    <sheet name="MincerRegr" sheetId="3" r:id="rId3"/>
    <sheet name="Documentation" sheetId="4" r:id="rId4"/>
    <sheet name="Sources" sheetId="5" r:id="rId5"/>
    <sheet name="ImmSchool" sheetId="6" r:id="rId6"/>
    <sheet name="Schooling" sheetId="7" r:id="rId7"/>
  </sheets>
  <definedNames/>
  <calcPr fullCalcOnLoad="1"/>
</workbook>
</file>

<file path=xl/comments1.xml><?xml version="1.0" encoding="utf-8"?>
<comments xmlns="http://schemas.openxmlformats.org/spreadsheetml/2006/main">
  <authors>
    <author>LH</author>
  </authors>
  <commentList>
    <comment ref="G4" authorId="0">
      <text>
        <r>
          <rPr>
            <b/>
            <sz val="8"/>
            <rFont val="Tahoma"/>
            <family val="0"/>
          </rPr>
          <t>LH:</t>
        </r>
        <r>
          <rPr>
            <sz val="8"/>
            <rFont val="Tahoma"/>
            <family val="0"/>
          </rPr>
          <t xml:space="preserve">
Weekly = 52
Monthly = 12
Annual = 1</t>
        </r>
      </text>
    </comment>
  </commentList>
</comments>
</file>

<file path=xl/comments3.xml><?xml version="1.0" encoding="utf-8"?>
<comments xmlns="http://schemas.openxmlformats.org/spreadsheetml/2006/main">
  <authors>
    <author>Lutz Hendricks</author>
  </authors>
  <commentList>
    <comment ref="S64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PWT exchange rate is 0.0025 (cannot be right).
This one is from Lorenz/Wagner t. 1.2</t>
        </r>
      </text>
    </comment>
    <comment ref="Z13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Schooling taken from 1987</t>
        </r>
      </text>
    </comment>
    <comment ref="Z14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Schooling taken from 1987</t>
        </r>
      </text>
    </comment>
    <comment ref="S63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PWT exchange rate cannot be right. Took the one from Friedberg paper.</t>
        </r>
      </text>
    </comment>
    <comment ref="K65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Occupation 3. This is 2/3 of the population</t>
        </r>
      </text>
    </comment>
    <comment ref="F65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Annual hours obtained from monthly hours</t>
        </r>
      </text>
    </comment>
    <comment ref="K141" authorId="0">
      <text>
        <r>
          <rPr>
            <b/>
            <sz val="8"/>
            <rFont val="Tahoma"/>
            <family val="0"/>
          </rPr>
          <t>Lutz Hendricks:</t>
        </r>
        <r>
          <rPr>
            <sz val="8"/>
            <rFont val="Tahoma"/>
            <family val="0"/>
          </rPr>
          <t xml:space="preserve">
Urban, married</t>
        </r>
      </text>
    </comment>
  </commentList>
</comments>
</file>

<file path=xl/sharedStrings.xml><?xml version="1.0" encoding="utf-8"?>
<sst xmlns="http://schemas.openxmlformats.org/spreadsheetml/2006/main" count="971" uniqueCount="355">
  <si>
    <t>Experience</t>
  </si>
  <si>
    <t>Earnings</t>
  </si>
  <si>
    <t>USA</t>
  </si>
  <si>
    <t>Kenya</t>
  </si>
  <si>
    <t>Tanzania</t>
  </si>
  <si>
    <t>Country</t>
  </si>
  <si>
    <t>s</t>
  </si>
  <si>
    <t>exp</t>
  </si>
  <si>
    <t>exp_sq</t>
  </si>
  <si>
    <t>Source</t>
  </si>
  <si>
    <t>Comments</t>
  </si>
  <si>
    <t>Israel</t>
  </si>
  <si>
    <t>Year</t>
  </si>
  <si>
    <t>Thailand</t>
  </si>
  <si>
    <t>Sex</t>
  </si>
  <si>
    <t>Chiswick (1976), T 2</t>
  </si>
  <si>
    <t>Malaysia</t>
  </si>
  <si>
    <t>Blau (1995)</t>
  </si>
  <si>
    <t>Data on wages in US$ (Fig 1)</t>
  </si>
  <si>
    <t>Knight/Sabot</t>
  </si>
  <si>
    <t>May not be usable; apparently not exp_sq</t>
  </si>
  <si>
    <t>Colombia</t>
  </si>
  <si>
    <t>Brazil</t>
  </si>
  <si>
    <t>Philippines</t>
  </si>
  <si>
    <t>Hossai/Psacharopoulos (1994)</t>
  </si>
  <si>
    <t>Intercept</t>
  </si>
  <si>
    <t>Exch R</t>
  </si>
  <si>
    <t>PPP Price level</t>
  </si>
  <si>
    <t>Var 13 (o)</t>
  </si>
  <si>
    <t>Var 17 (s)</t>
  </si>
  <si>
    <t>Real GDP</t>
  </si>
  <si>
    <t>Var9 (K)</t>
  </si>
  <si>
    <t>Units</t>
  </si>
  <si>
    <t>Annual, pesos</t>
  </si>
  <si>
    <t>Germany</t>
  </si>
  <si>
    <t>Log monthly earnings, DM</t>
  </si>
  <si>
    <t>Krueger/Pischke (1992), T 2</t>
  </si>
  <si>
    <t>Greece</t>
  </si>
  <si>
    <t>Log monthly earnings</t>
  </si>
  <si>
    <t>Chapman/Harding (1985)</t>
  </si>
  <si>
    <t>Y rel US</t>
  </si>
  <si>
    <t>Var 8 (J)</t>
  </si>
  <si>
    <t>India</t>
  </si>
  <si>
    <t>Log Annual earnings, DOLLARS</t>
  </si>
  <si>
    <t>Rao/Datta (1989)</t>
  </si>
  <si>
    <t>China</t>
  </si>
  <si>
    <t>Log monthly earnings; yuan</t>
  </si>
  <si>
    <t>Jamison/van der Gaag (1987)</t>
  </si>
  <si>
    <t>Japan</t>
  </si>
  <si>
    <t>Hourly wage, yen</t>
  </si>
  <si>
    <t>Hill (1983)</t>
  </si>
  <si>
    <t>Puerto Rico</t>
  </si>
  <si>
    <t>Log hourly wages</t>
  </si>
  <si>
    <t>Ramos (1992)</t>
  </si>
  <si>
    <t>Log annual earnings</t>
  </si>
  <si>
    <t>Log hourly wage</t>
  </si>
  <si>
    <t>Log annual earnings, 1000 drachmas</t>
  </si>
  <si>
    <t>Psacharopoulos (1982)</t>
  </si>
  <si>
    <t>Korea</t>
  </si>
  <si>
    <t>Choi (1996)</t>
  </si>
  <si>
    <t>No intercepts</t>
  </si>
  <si>
    <t>Paraguay</t>
  </si>
  <si>
    <t>Uruguay</t>
  </si>
  <si>
    <t>Log monthly earnings, 1000 pesos</t>
  </si>
  <si>
    <t>IPUMS</t>
  </si>
  <si>
    <t>Intercept appropriate for regression of log annual dollar earnings</t>
  </si>
  <si>
    <t>N</t>
  </si>
  <si>
    <t>Length of period = 1/N years</t>
  </si>
  <si>
    <t>Currency</t>
  </si>
  <si>
    <t>Local</t>
  </si>
  <si>
    <t>Predicted</t>
  </si>
  <si>
    <t>Nominal</t>
  </si>
  <si>
    <t>Intercept corrected for hours worked</t>
  </si>
  <si>
    <t>Export this section for use in Matlab</t>
  </si>
  <si>
    <t>Men: 1</t>
  </si>
  <si>
    <t>Women: 2</t>
  </si>
  <si>
    <t>KapW</t>
  </si>
  <si>
    <t>Var 20 (V)</t>
  </si>
  <si>
    <t>RGDPW</t>
  </si>
  <si>
    <t>Var19 (U)</t>
  </si>
  <si>
    <t>K/Y</t>
  </si>
  <si>
    <t>Coefficients for imputed K/Y</t>
  </si>
  <si>
    <t>Based on c1_ky.m</t>
  </si>
  <si>
    <t>Census</t>
  </si>
  <si>
    <t>CensusYr</t>
  </si>
  <si>
    <t>Log weekly earnings</t>
  </si>
  <si>
    <t>Krueger and Pischke (1992, table 2a)</t>
  </si>
  <si>
    <t>Italy</t>
  </si>
  <si>
    <t>Log monthly, lira</t>
  </si>
  <si>
    <t>Avg</t>
  </si>
  <si>
    <t>Schooling</t>
  </si>
  <si>
    <t>Great Britain</t>
  </si>
  <si>
    <t>Log annual, pounds</t>
  </si>
  <si>
    <t>Austria</t>
  </si>
  <si>
    <t>Log monthly, schilling</t>
  </si>
  <si>
    <t>Australia</t>
  </si>
  <si>
    <t>Log annual, A$</t>
  </si>
  <si>
    <t>Switzerland</t>
  </si>
  <si>
    <t>Log monthly earnings, CHF</t>
  </si>
  <si>
    <t>Hungary</t>
  </si>
  <si>
    <t>Canada</t>
  </si>
  <si>
    <t>Log annual, Can$ (?)</t>
  </si>
  <si>
    <t>Lorenz and Wagner (1991), table 1.1</t>
  </si>
  <si>
    <t>Netherlands</t>
  </si>
  <si>
    <t>Poland</t>
  </si>
  <si>
    <t>Lorenz and Wagner (1991), table 2.1</t>
  </si>
  <si>
    <t>Log monthly, A$</t>
  </si>
  <si>
    <t>Log annual, DM</t>
  </si>
  <si>
    <t>Log annual, Guilders</t>
  </si>
  <si>
    <t>Wage growth</t>
  </si>
  <si>
    <t>Mincer regression generates absurd wage growth – drop</t>
  </si>
  <si>
    <t>USE?</t>
  </si>
  <si>
    <t>Same as male</t>
  </si>
  <si>
    <t>Pakistan</t>
  </si>
  <si>
    <t>Log monthly, local currency</t>
  </si>
  <si>
    <t>Shabbir (1991) table 2</t>
  </si>
  <si>
    <t>(Dollars)</t>
  </si>
  <si>
    <t>Log annual</t>
  </si>
  <si>
    <t>From bpl_detailed.xls</t>
  </si>
  <si>
    <t>School coefficient</t>
  </si>
  <si>
    <t>Experience coefficient</t>
  </si>
  <si>
    <t>Experience squared</t>
  </si>
  <si>
    <t>Table 2.6, column (2)</t>
  </si>
  <si>
    <t>Same as men</t>
  </si>
  <si>
    <t>Mexico</t>
  </si>
  <si>
    <t>Portugal</t>
  </si>
  <si>
    <t>Spain</t>
  </si>
  <si>
    <t>Lorenz and Wagner (1991), table 1</t>
  </si>
  <si>
    <t>Same as male (bad!)</t>
  </si>
  <si>
    <t>Min K/Y</t>
  </si>
  <si>
    <t>Friedberg (1996) Table 4</t>
  </si>
  <si>
    <t>El Salvador</t>
  </si>
  <si>
    <t>Jamaica</t>
  </si>
  <si>
    <t>Argentina</t>
  </si>
  <si>
    <t>Log monthly</t>
  </si>
  <si>
    <t>log monthly</t>
  </si>
  <si>
    <t>Bolivia</t>
  </si>
  <si>
    <t>Chile</t>
  </si>
  <si>
    <t>Costa Rica</t>
  </si>
  <si>
    <t>Dominican Republic</t>
  </si>
  <si>
    <t>Ecuador</t>
  </si>
  <si>
    <t>Guatemala</t>
  </si>
  <si>
    <t>Honduras</t>
  </si>
  <si>
    <t>Log quarterly</t>
  </si>
  <si>
    <t>Panama</t>
  </si>
  <si>
    <t>Peru</t>
  </si>
  <si>
    <t>Log monthly, 1000s</t>
  </si>
  <si>
    <t>Venezuela</t>
  </si>
  <si>
    <t>Questionable earnings profiles</t>
  </si>
  <si>
    <t>Use P + Ng 1992 instead</t>
  </si>
  <si>
    <t>[DM/$]</t>
  </si>
  <si>
    <t>Using IFS exchange rate</t>
  </si>
  <si>
    <t>Use IFS exchange rate</t>
  </si>
  <si>
    <t>Adjusted exchange by factor 1000</t>
  </si>
  <si>
    <t>IFS exchange rate</t>
  </si>
  <si>
    <t>Max K/Y</t>
  </si>
  <si>
    <t>McGrattan/Schmitz K/Y</t>
  </si>
  <si>
    <t>PWT</t>
  </si>
  <si>
    <t>PWT No</t>
  </si>
  <si>
    <t>Botswana</t>
  </si>
  <si>
    <t>Lucas and Stark (1985)</t>
  </si>
  <si>
    <t>Nicaragua</t>
  </si>
  <si>
    <t>Log bi-weekly</t>
  </si>
  <si>
    <t>Behrman, Wolfe, and Blau (1985)</t>
  </si>
  <si>
    <t>Actual</t>
  </si>
  <si>
    <t>Average earnings</t>
  </si>
  <si>
    <t>Earn of</t>
  </si>
  <si>
    <t>avg worker</t>
  </si>
  <si>
    <t>in $</t>
  </si>
  <si>
    <t>No</t>
  </si>
  <si>
    <t>Earnings of worker with average characteristics</t>
  </si>
  <si>
    <t>$ per year</t>
  </si>
  <si>
    <t>In source country</t>
  </si>
  <si>
    <t>Singapore</t>
  </si>
  <si>
    <t>Liu and Wong (1981)</t>
  </si>
  <si>
    <t>Denmark</t>
  </si>
  <si>
    <t>Log hourly</t>
  </si>
  <si>
    <t>Rosholm and Smith (1996)</t>
  </si>
  <si>
    <t>GDP per capita</t>
  </si>
  <si>
    <t>Shabbir (1994)</t>
  </si>
  <si>
    <t>Own estimates</t>
  </si>
  <si>
    <t>Quintile</t>
  </si>
  <si>
    <t>Ratio</t>
  </si>
  <si>
    <t>Lassibille (1998)</t>
  </si>
  <si>
    <t>Mincer regressions</t>
  </si>
  <si>
    <t>Annual</t>
  </si>
  <si>
    <t>Psacharopoulos and Ng (1992)</t>
  </si>
  <si>
    <t>Norway</t>
  </si>
  <si>
    <t>Hayfron (1998)</t>
  </si>
  <si>
    <t>Uses age instead of experience</t>
  </si>
  <si>
    <t>Eckstein and Weiss (1998)</t>
  </si>
  <si>
    <t>Could also use Lam/Schoeni (1993 JPE)</t>
  </si>
  <si>
    <t>Years of Schooling: Immigrants vs. Source Countries</t>
  </si>
  <si>
    <t>Documentation</t>
  </si>
  <si>
    <t>The plot shows average years of schooling of U.S. immigrants</t>
  </si>
  <si>
    <t>and source country non-migrants</t>
  </si>
  <si>
    <t>The sheet "MincerRegr" collects data on source country Mincer regressions</t>
  </si>
  <si>
    <t>Mincer Regressions for Source Countries</t>
  </si>
  <si>
    <t>Notes on columns</t>
  </si>
  <si>
    <t>Earnings of worker with mean characteristics as predicted by the Mincer regression</t>
  </si>
  <si>
    <t>Comparison provides a consistency check: the 2 figures should be close</t>
  </si>
  <si>
    <t>Units of the dependent variable</t>
  </si>
  <si>
    <t>Local currency</t>
  </si>
  <si>
    <t>Is dependent variable measured in local currency or USD?</t>
  </si>
  <si>
    <t>In order to obtain annual earnings, multiply dependent variable by N</t>
  </si>
  <si>
    <t>N = 12 for monthly earnings. N = 52 for weekly earnings. N = 2000 for hourly earnings</t>
  </si>
  <si>
    <t>IPUMS country</t>
  </si>
  <si>
    <t>Country number in IPUMS. Variable "BPL detailed"</t>
  </si>
  <si>
    <t>Survey year of the data underlying the Mincer regression</t>
  </si>
  <si>
    <t>The block in yellow frame is to be exported into Matlab</t>
  </si>
  <si>
    <t>1 = male;  2 = female</t>
  </si>
  <si>
    <t>Intercepts and slope coefficients of a Mincer regression of the form</t>
  </si>
  <si>
    <t>[Log earnings] = [Intercept] + b1 * [years of schooling] + b2 * [experience] + b3 * [experience]^2</t>
  </si>
  <si>
    <t>USD</t>
  </si>
  <si>
    <t>Intercept Annual USD</t>
  </si>
  <si>
    <t>Intercept of earnings regression for annual USD earnings</t>
  </si>
  <si>
    <t>PWT Variables</t>
  </si>
  <si>
    <t>Variables from Penn World Tables 5.6</t>
  </si>
  <si>
    <t>PPP Price</t>
  </si>
  <si>
    <t xml:space="preserve">    McGrattan</t>
  </si>
  <si>
    <t>Price level GDP [%]   (PPP GDP/ U.S. dollar exchange rate)</t>
  </si>
  <si>
    <t>P</t>
  </si>
  <si>
    <t>Y</t>
  </si>
  <si>
    <t>CGDP relative to U.S. [%] (U.S.=100, current intl. prices)</t>
  </si>
  <si>
    <t>CGDP</t>
  </si>
  <si>
    <t>Real GDP per capita (current intl. prices)</t>
  </si>
  <si>
    <t>XR</t>
  </si>
  <si>
    <t>Exchange Rate with U.S. dollar</t>
  </si>
  <si>
    <t>Real GDP per Worker (1985  intl. prices)</t>
  </si>
  <si>
    <t>Nonresidential Capital Stock per Worker (1985 intl. prices)</t>
  </si>
  <si>
    <t>KAPW</t>
  </si>
  <si>
    <t>Capital output ratio = KapW / RGDPW</t>
  </si>
  <si>
    <t>Capital-output ratio from McGrattan and Schmitz (1998)</t>
  </si>
  <si>
    <t>Census year</t>
  </si>
  <si>
    <t>Year of census closest to year of Mincer regression</t>
  </si>
  <si>
    <t>RGDPW Census Yr</t>
  </si>
  <si>
    <t>RGDPW in census year</t>
  </si>
  <si>
    <t>Avg schooling</t>
  </si>
  <si>
    <t>Avg experience</t>
  </si>
  <si>
    <t>Earn of avg worker</t>
  </si>
  <si>
    <t>1 = use this observation;  2 = do not use this observation</t>
  </si>
  <si>
    <t>This is a filter used by the Matlab routines to eliminate incomplete or</t>
  </si>
  <si>
    <t>otherwise objectionable observations</t>
  </si>
  <si>
    <t>PWT country number</t>
  </si>
  <si>
    <t>Quintile Ratio</t>
  </si>
  <si>
    <t>Schooling Average in source country</t>
  </si>
  <si>
    <t>Ratio of top to bottom quintile incomes. From Deininger and Squire (1996), table 1</t>
  </si>
  <si>
    <t>Average years of schooling in dataset underlying Mincer regressions</t>
  </si>
  <si>
    <t>Average years of experience in dataset underlying Mincer regressions</t>
  </si>
  <si>
    <t>Average years of schooling in source country  (Borjas 1994, table 8)</t>
  </si>
  <si>
    <t>Average in source country</t>
  </si>
  <si>
    <t>Country name</t>
  </si>
  <si>
    <t>Predicted earnings (USD)</t>
  </si>
  <si>
    <t>Nominal GDP per capita (USD)</t>
  </si>
  <si>
    <t>Earnings predicted by Mincer regression for worker with average characteristics (USD per year)</t>
  </si>
  <si>
    <t>Nominal GDP per capita. To check plausibility of predicted earnings</t>
  </si>
  <si>
    <t>Wage growth due to 12 years of schooling and 20 years of experience</t>
  </si>
  <si>
    <t>x = 20, s = 12</t>
  </si>
  <si>
    <t>x = 5 to 25</t>
  </si>
  <si>
    <t>s = 4</t>
  </si>
  <si>
    <t>s = 8</t>
  </si>
  <si>
    <t>Wage growth due to 25 vs 5 years of experience</t>
  </si>
  <si>
    <t>Wage growth due to 4 years of schooling</t>
  </si>
  <si>
    <t>Wage growth due to 8 years of schooling</t>
  </si>
  <si>
    <t>x = 20</t>
  </si>
  <si>
    <t>s = 12</t>
  </si>
  <si>
    <t>Blue color marks questionable observations</t>
  </si>
  <si>
    <t>Missing values are interpolated (grey color)</t>
  </si>
  <si>
    <t>Set to 20 years if not available</t>
  </si>
  <si>
    <t>Same as "Earn of avg worker"</t>
  </si>
  <si>
    <t>Drop: Earnings of women relative to men nonsensically small</t>
  </si>
  <si>
    <t>Drop: Problems with exchange rate (hyperinflation period)</t>
  </si>
  <si>
    <t>Questionable earnings profiles. Large discrepance predicted/actual average earnings</t>
  </si>
  <si>
    <t>Drop: Not a representative sample</t>
  </si>
  <si>
    <t>Drop: Use Lorenz and Wagner (1991) instead</t>
  </si>
  <si>
    <t>Drop: Mincer regression generates absurd wage growth</t>
  </si>
  <si>
    <t>Drop: Only former university students</t>
  </si>
  <si>
    <t>Drop: Large discrepancy predicted/actual average earnings</t>
  </si>
  <si>
    <t>n/a</t>
  </si>
  <si>
    <t>Detailed data documentation in technical appendix</t>
  </si>
  <si>
    <t>Psacharopoulos (1981), table 1</t>
  </si>
  <si>
    <t>Questionable: Equation is linear in experience. PWT values show too large discrepancy between CGDP and RGDPW</t>
  </si>
  <si>
    <t>Average earnings as reported in the source document (usually local currency)</t>
  </si>
  <si>
    <t>Questionable: Too steep earnings profile</t>
  </si>
  <si>
    <t>Ireland</t>
  </si>
  <si>
    <t>Callan/Harmon (1999)</t>
  </si>
  <si>
    <r>
      <t xml:space="preserve">Callan, Tim; Colm Harmon (1999). “The economic return to schooling in Ireland.” </t>
    </r>
    <r>
      <rPr>
        <i/>
        <sz val="12"/>
        <rFont val="Times New Roman"/>
        <family val="1"/>
      </rPr>
      <t>Labour Economics</t>
    </r>
    <r>
      <rPr>
        <sz val="12"/>
        <rFont val="Times New Roman"/>
        <family val="1"/>
      </rPr>
      <t>. 6: 543-550.</t>
    </r>
  </si>
  <si>
    <t>Sources:</t>
  </si>
  <si>
    <t>This is in NOMINAL USD!</t>
  </si>
  <si>
    <t>Source country Mincer regression coefficients</t>
  </si>
  <si>
    <t>PwtNo 5.6</t>
  </si>
  <si>
    <t>Mincer coefficients</t>
  </si>
  <si>
    <t>School</t>
  </si>
  <si>
    <t>Exper</t>
  </si>
  <si>
    <t>Exper^2</t>
  </si>
  <si>
    <t>Other Info about Mincer data</t>
  </si>
  <si>
    <t>Pd length</t>
  </si>
  <si>
    <t>Use?</t>
  </si>
  <si>
    <t>Documentation for "Mincer2" data sheet</t>
  </si>
  <si>
    <t>The sheet contains Mincer regression coefficients plus related information for a set of countries</t>
  </si>
  <si>
    <t>Variables</t>
  </si>
  <si>
    <t>Reference to data source</t>
  </si>
  <si>
    <t>Procedures</t>
  </si>
  <si>
    <t>Copy the block of numerical variables into an ASCII file</t>
  </si>
  <si>
    <t>Unused observations may be left in the sheet, but only one observation per country/sex/year should have USE=1</t>
  </si>
  <si>
    <t>Check the average experience figure +++</t>
  </si>
  <si>
    <t>Brunello et al. (2000)</t>
  </si>
  <si>
    <t>Immigrant schooling in various source countries</t>
  </si>
  <si>
    <t>Host country</t>
  </si>
  <si>
    <t>All</t>
  </si>
  <si>
    <t>Native born</t>
  </si>
  <si>
    <t>West Europe</t>
  </si>
  <si>
    <t>East Europe</t>
  </si>
  <si>
    <t>USSR</t>
  </si>
  <si>
    <t>Asia/Africa</t>
  </si>
  <si>
    <t>Friedberg 1996, t. 3</t>
  </si>
  <si>
    <t>UK</t>
  </si>
  <si>
    <t>White</t>
  </si>
  <si>
    <t>Indian</t>
  </si>
  <si>
    <t>West Indian</t>
  </si>
  <si>
    <t>Bell 1997</t>
  </si>
  <si>
    <t>Beggs/Chapman t. 14A.1</t>
  </si>
  <si>
    <t>English speaking</t>
  </si>
  <si>
    <t>Non-English speaking</t>
  </si>
  <si>
    <t>Mean Earnings</t>
  </si>
  <si>
    <t>Smith 2001, t. 2; non-refugess</t>
  </si>
  <si>
    <t>Africa</t>
  </si>
  <si>
    <t>South and Latin America</t>
  </si>
  <si>
    <t>North America</t>
  </si>
  <si>
    <t>Nordic Countries</t>
  </si>
  <si>
    <t>Not controlling for skills</t>
  </si>
  <si>
    <t>Friedberg 1996, t. 2</t>
  </si>
  <si>
    <t>Venturini 1998; table 4.1</t>
  </si>
  <si>
    <t>Asia</t>
  </si>
  <si>
    <t>Latin America</t>
  </si>
  <si>
    <t>Kuwait</t>
  </si>
  <si>
    <t>Shah 2000</t>
  </si>
  <si>
    <t>Shah 2000, USD per month</t>
  </si>
  <si>
    <t>Bangladesh</t>
  </si>
  <si>
    <t>SriLanka</t>
  </si>
  <si>
    <t>Co, Gang, and Yun (1999)</t>
  </si>
  <si>
    <t>Use Co/Gang/Yun (1999)</t>
  </si>
  <si>
    <t>Use 1990 estimates</t>
  </si>
  <si>
    <t>Do not exclude unreasonable earnings profiles. This is done in c2_mincer_load</t>
  </si>
  <si>
    <t>Mean</t>
  </si>
  <si>
    <t>weekly</t>
  </si>
  <si>
    <t>hours</t>
  </si>
  <si>
    <t>daily</t>
  </si>
  <si>
    <t>annual</t>
  </si>
  <si>
    <t>monthly</t>
  </si>
  <si>
    <t>Unusable Sources</t>
  </si>
  <si>
    <t>Korea, South</t>
  </si>
  <si>
    <t>Callan and Harmon (1999)</t>
  </si>
  <si>
    <t>Use Brunello et al 2000</t>
  </si>
  <si>
    <t>Not used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</si>
</sst>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0.000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"/>
  </numFmts>
  <fonts count="18">
    <font>
      <sz val="10"/>
      <name val="Arial"/>
      <family val="0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44" fontId="4" fillId="0" borderId="0" xfId="17" applyFon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17" applyNumberForma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9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5" fontId="10" fillId="0" borderId="0" xfId="0" applyNumberFormat="1" applyFont="1" applyAlignment="1">
      <alignment/>
    </xf>
    <xf numFmtId="169" fontId="0" fillId="0" borderId="0" xfId="0" applyNumberFormat="1" applyFont="1" applyFill="1" applyAlignment="1">
      <alignment/>
    </xf>
    <xf numFmtId="2" fontId="9" fillId="0" borderId="0" xfId="17" applyNumberFormat="1" applyFont="1" applyFill="1" applyAlignment="1">
      <alignment/>
    </xf>
    <xf numFmtId="165" fontId="10" fillId="4" borderId="0" xfId="0" applyNumberFormat="1" applyFont="1" applyFill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4" fillId="0" borderId="0" xfId="0" applyFont="1" applyFill="1" applyAlignment="1">
      <alignment/>
    </xf>
    <xf numFmtId="172" fontId="8" fillId="2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2" fontId="4" fillId="0" borderId="0" xfId="17" applyNumberFormat="1" applyFont="1" applyFill="1" applyAlignment="1">
      <alignment/>
    </xf>
    <xf numFmtId="44" fontId="0" fillId="0" borderId="0" xfId="17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0" fontId="0" fillId="0" borderId="0" xfId="0" applyNumberFormat="1" applyAlignment="1">
      <alignment/>
    </xf>
    <xf numFmtId="165" fontId="0" fillId="4" borderId="0" xfId="0" applyNumberFormat="1" applyFont="1" applyFill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" fontId="0" fillId="0" borderId="0" xfId="17" applyNumberFormat="1" applyFont="1" applyFill="1" applyAlignment="1">
      <alignment/>
    </xf>
    <xf numFmtId="1" fontId="0" fillId="4" borderId="0" xfId="17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" fontId="4" fillId="0" borderId="0" xfId="17" applyNumberFormat="1" applyFont="1" applyFill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165" fontId="0" fillId="0" borderId="3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168" fontId="0" fillId="0" borderId="4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17" applyNumberFormat="1" applyFont="1" applyFill="1" applyAlignment="1">
      <alignment/>
    </xf>
    <xf numFmtId="2" fontId="0" fillId="0" borderId="0" xfId="17" applyNumberFormat="1" applyFont="1" applyFill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2" fillId="0" borderId="0" xfId="17" applyNumberFormat="1" applyFont="1" applyFill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0" fillId="3" borderId="15" xfId="0" applyFill="1" applyBorder="1" applyAlignment="1">
      <alignment/>
    </xf>
    <xf numFmtId="0" fontId="0" fillId="0" borderId="15" xfId="0" applyBorder="1" applyAlignment="1">
      <alignment/>
    </xf>
    <xf numFmtId="0" fontId="3" fillId="3" borderId="0" xfId="0" applyFont="1" applyFill="1" applyAlignment="1">
      <alignment/>
    </xf>
    <xf numFmtId="0" fontId="16" fillId="0" borderId="0" xfId="0" applyFont="1" applyAlignment="1">
      <alignment/>
    </xf>
    <xf numFmtId="9" fontId="0" fillId="0" borderId="0" xfId="21" applyAlignment="1">
      <alignment/>
    </xf>
    <xf numFmtId="177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16" fillId="2" borderId="0" xfId="0" applyFont="1" applyFill="1" applyAlignment="1">
      <alignment/>
    </xf>
    <xf numFmtId="0" fontId="0" fillId="3" borderId="15" xfId="0" applyFill="1" applyBorder="1" applyAlignment="1">
      <alignment wrapText="1"/>
    </xf>
    <xf numFmtId="0" fontId="0" fillId="2" borderId="1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ImmSchooling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MincerRegr!$Z$7:$Z$116</c:f>
              <c:numCache>
                <c:ptCount val="103"/>
                <c:pt idx="0">
                  <c:v>13.5</c:v>
                </c:pt>
                <c:pt idx="1">
                  <c:v>13.6</c:v>
                </c:pt>
                <c:pt idx="2">
                  <c:v>13</c:v>
                </c:pt>
                <c:pt idx="3">
                  <c:v>12.9</c:v>
                </c:pt>
                <c:pt idx="4">
                  <c:v>8.1</c:v>
                </c:pt>
                <c:pt idx="5">
                  <c:v>7.8</c:v>
                </c:pt>
                <c:pt idx="6">
                  <c:v>8.7</c:v>
                </c:pt>
                <c:pt idx="7">
                  <c:v>9.8</c:v>
                </c:pt>
                <c:pt idx="8">
                  <c:v>12.5</c:v>
                </c:pt>
                <c:pt idx="9">
                  <c:v>10.31</c:v>
                </c:pt>
                <c:pt idx="10">
                  <c:v>9.72</c:v>
                </c:pt>
                <c:pt idx="11">
                  <c:v>9.5</c:v>
                </c:pt>
                <c:pt idx="12">
                  <c:v>11.5</c:v>
                </c:pt>
                <c:pt idx="13">
                  <c:v>4.81</c:v>
                </c:pt>
                <c:pt idx="14">
                  <c:v>4.81</c:v>
                </c:pt>
                <c:pt idx="15">
                  <c:v>5.2</c:v>
                </c:pt>
                <c:pt idx="16">
                  <c:v>5.5</c:v>
                </c:pt>
                <c:pt idx="17">
                  <c:v>5</c:v>
                </c:pt>
                <c:pt idx="18">
                  <c:v>5.9</c:v>
                </c:pt>
                <c:pt idx="19">
                  <c:v>13.2</c:v>
                </c:pt>
                <c:pt idx="20">
                  <c:v>8.2</c:v>
                </c:pt>
                <c:pt idx="21">
                  <c:v>9.4</c:v>
                </c:pt>
                <c:pt idx="22">
                  <c:v>8.7</c:v>
                </c:pt>
                <c:pt idx="23">
                  <c:v>8.3</c:v>
                </c:pt>
                <c:pt idx="24">
                  <c:v>7</c:v>
                </c:pt>
                <c:pt idx="25">
                  <c:v>6.8</c:v>
                </c:pt>
                <c:pt idx="26">
                  <c:v>8.1</c:v>
                </c:pt>
                <c:pt idx="27">
                  <c:v>8.3</c:v>
                </c:pt>
                <c:pt idx="28">
                  <c:v>6.3</c:v>
                </c:pt>
                <c:pt idx="29">
                  <c:v>7.7</c:v>
                </c:pt>
                <c:pt idx="30">
                  <c:v>6.4</c:v>
                </c:pt>
                <c:pt idx="31">
                  <c:v>8.1</c:v>
                </c:pt>
                <c:pt idx="32">
                  <c:v>12.38</c:v>
                </c:pt>
                <c:pt idx="33">
                  <c:v>11.54</c:v>
                </c:pt>
                <c:pt idx="34">
                  <c:v>8.4</c:v>
                </c:pt>
                <c:pt idx="35">
                  <c:v>9.5</c:v>
                </c:pt>
                <c:pt idx="36">
                  <c:v>9.7</c:v>
                </c:pt>
                <c:pt idx="37">
                  <c:v>9.5</c:v>
                </c:pt>
                <c:pt idx="38">
                  <c:v>7</c:v>
                </c:pt>
                <c:pt idx="39">
                  <c:v>6.7</c:v>
                </c:pt>
                <c:pt idx="40">
                  <c:v>11.15</c:v>
                </c:pt>
                <c:pt idx="41">
                  <c:v>11.15</c:v>
                </c:pt>
                <c:pt idx="42">
                  <c:v>11.15</c:v>
                </c:pt>
                <c:pt idx="43">
                  <c:v>11.83</c:v>
                </c:pt>
                <c:pt idx="44">
                  <c:v>10</c:v>
                </c:pt>
                <c:pt idx="45">
                  <c:v>4</c:v>
                </c:pt>
                <c:pt idx="46">
                  <c:v>4.8</c:v>
                </c:pt>
                <c:pt idx="47">
                  <c:v>6.1</c:v>
                </c:pt>
                <c:pt idx="48">
                  <c:v>7.1</c:v>
                </c:pt>
                <c:pt idx="49">
                  <c:v>11.31</c:v>
                </c:pt>
                <c:pt idx="50">
                  <c:v>16.8</c:v>
                </c:pt>
                <c:pt idx="51">
                  <c:v>16.8</c:v>
                </c:pt>
                <c:pt idx="52">
                  <c:v>11.6</c:v>
                </c:pt>
                <c:pt idx="53">
                  <c:v>11.333333333333332</c:v>
                </c:pt>
                <c:pt idx="54">
                  <c:v>11.16</c:v>
                </c:pt>
                <c:pt idx="55">
                  <c:v>12.58</c:v>
                </c:pt>
                <c:pt idx="56">
                  <c:v>10.72</c:v>
                </c:pt>
                <c:pt idx="57">
                  <c:v>5.5</c:v>
                </c:pt>
                <c:pt idx="58">
                  <c:v>5.2</c:v>
                </c:pt>
                <c:pt idx="59">
                  <c:v>11.1</c:v>
                </c:pt>
                <c:pt idx="60">
                  <c:v>16.09</c:v>
                </c:pt>
                <c:pt idx="61">
                  <c:v>15.49</c:v>
                </c:pt>
                <c:pt idx="62">
                  <c:v>6.3</c:v>
                </c:pt>
                <c:pt idx="63">
                  <c:v>7.5</c:v>
                </c:pt>
                <c:pt idx="64">
                  <c:v>9.48</c:v>
                </c:pt>
                <c:pt idx="65">
                  <c:v>6.5</c:v>
                </c:pt>
                <c:pt idx="66">
                  <c:v>5.1</c:v>
                </c:pt>
                <c:pt idx="67">
                  <c:v>11.8</c:v>
                </c:pt>
                <c:pt idx="68">
                  <c:v>11.8</c:v>
                </c:pt>
                <c:pt idx="69">
                  <c:v>4.47</c:v>
                </c:pt>
                <c:pt idx="70">
                  <c:v>8.59</c:v>
                </c:pt>
                <c:pt idx="71">
                  <c:v>7.8</c:v>
                </c:pt>
                <c:pt idx="72">
                  <c:v>9.6</c:v>
                </c:pt>
                <c:pt idx="73">
                  <c:v>8.6</c:v>
                </c:pt>
                <c:pt idx="74">
                  <c:v>10.1</c:v>
                </c:pt>
                <c:pt idx="75">
                  <c:v>8.4</c:v>
                </c:pt>
                <c:pt idx="76">
                  <c:v>7.7</c:v>
                </c:pt>
                <c:pt idx="77">
                  <c:v>9.1</c:v>
                </c:pt>
                <c:pt idx="78">
                  <c:v>8.9</c:v>
                </c:pt>
                <c:pt idx="79">
                  <c:v>7.1</c:v>
                </c:pt>
                <c:pt idx="80">
                  <c:v>6.1</c:v>
                </c:pt>
                <c:pt idx="81">
                  <c:v>10.2</c:v>
                </c:pt>
                <c:pt idx="82">
                  <c:v>9.8</c:v>
                </c:pt>
                <c:pt idx="83">
                  <c:v>9</c:v>
                </c:pt>
                <c:pt idx="84">
                  <c:v>9</c:v>
                </c:pt>
                <c:pt idx="85">
                  <c:v>11.1</c:v>
                </c:pt>
                <c:pt idx="86">
                  <c:v>4.7</c:v>
                </c:pt>
                <c:pt idx="87">
                  <c:v>10.8</c:v>
                </c:pt>
                <c:pt idx="88">
                  <c:v>10.8</c:v>
                </c:pt>
                <c:pt idx="89">
                  <c:v>7.543</c:v>
                </c:pt>
                <c:pt idx="90">
                  <c:v>7.99</c:v>
                </c:pt>
                <c:pt idx="91">
                  <c:v>8.64</c:v>
                </c:pt>
                <c:pt idx="92">
                  <c:v>11.02</c:v>
                </c:pt>
                <c:pt idx="93">
                  <c:v>6.84</c:v>
                </c:pt>
                <c:pt idx="94">
                  <c:v>6.359999999999999</c:v>
                </c:pt>
                <c:pt idx="95">
                  <c:v>8.3</c:v>
                </c:pt>
                <c:pt idx="96">
                  <c:v>8.7</c:v>
                </c:pt>
                <c:pt idx="97">
                  <c:v>8.7</c:v>
                </c:pt>
                <c:pt idx="98">
                  <c:v>9.3</c:v>
                </c:pt>
                <c:pt idx="99">
                  <c:v>7.1</c:v>
                </c:pt>
                <c:pt idx="100">
                  <c:v>7.8</c:v>
                </c:pt>
                <c:pt idx="101">
                  <c:v>7.9</c:v>
                </c:pt>
                <c:pt idx="102">
                  <c:v>10.2</c:v>
                </c:pt>
              </c:numCache>
            </c:numRef>
          </c:xVal>
          <c:yVal>
            <c:numRef>
              <c:f>MincerRegr!$AF$7:$AF$116</c:f>
              <c:numCache>
                <c:ptCount val="103"/>
                <c:pt idx="0">
                  <c:v>13.5</c:v>
                </c:pt>
                <c:pt idx="1">
                  <c:v>13.6</c:v>
                </c:pt>
                <c:pt idx="2">
                  <c:v>13</c:v>
                </c:pt>
                <c:pt idx="3">
                  <c:v>12.9</c:v>
                </c:pt>
                <c:pt idx="4">
                  <c:v>-99</c:v>
                </c:pt>
                <c:pt idx="5">
                  <c:v>-99</c:v>
                </c:pt>
                <c:pt idx="6">
                  <c:v>13.35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14.68</c:v>
                </c:pt>
                <c:pt idx="11">
                  <c:v>-99</c:v>
                </c:pt>
                <c:pt idx="12">
                  <c:v>-99</c:v>
                </c:pt>
                <c:pt idx="13">
                  <c:v>-99</c:v>
                </c:pt>
                <c:pt idx="14">
                  <c:v>-99</c:v>
                </c:pt>
                <c:pt idx="15">
                  <c:v>-99</c:v>
                </c:pt>
                <c:pt idx="16">
                  <c:v>-99</c:v>
                </c:pt>
                <c:pt idx="17">
                  <c:v>-99</c:v>
                </c:pt>
                <c:pt idx="18">
                  <c:v>-99</c:v>
                </c:pt>
                <c:pt idx="19">
                  <c:v>13.79</c:v>
                </c:pt>
                <c:pt idx="20">
                  <c:v>-99</c:v>
                </c:pt>
                <c:pt idx="21">
                  <c:v>-99</c:v>
                </c:pt>
                <c:pt idx="22">
                  <c:v>-99</c:v>
                </c:pt>
                <c:pt idx="23">
                  <c:v>-99</c:v>
                </c:pt>
                <c:pt idx="24">
                  <c:v>-99</c:v>
                </c:pt>
                <c:pt idx="25">
                  <c:v>-99</c:v>
                </c:pt>
                <c:pt idx="26">
                  <c:v>12.08</c:v>
                </c:pt>
                <c:pt idx="27">
                  <c:v>-99</c:v>
                </c:pt>
                <c:pt idx="28">
                  <c:v>-99</c:v>
                </c:pt>
                <c:pt idx="29">
                  <c:v>-99</c:v>
                </c:pt>
                <c:pt idx="30">
                  <c:v>-99</c:v>
                </c:pt>
                <c:pt idx="31">
                  <c:v>-99</c:v>
                </c:pt>
                <c:pt idx="32">
                  <c:v>-99</c:v>
                </c:pt>
                <c:pt idx="33">
                  <c:v>-99</c:v>
                </c:pt>
                <c:pt idx="34">
                  <c:v>10.28</c:v>
                </c:pt>
                <c:pt idx="35">
                  <c:v>-99</c:v>
                </c:pt>
                <c:pt idx="36">
                  <c:v>11.55</c:v>
                </c:pt>
                <c:pt idx="37">
                  <c:v>-99</c:v>
                </c:pt>
                <c:pt idx="38">
                  <c:v>8.61</c:v>
                </c:pt>
                <c:pt idx="39">
                  <c:v>-99</c:v>
                </c:pt>
                <c:pt idx="40">
                  <c:v>-99</c:v>
                </c:pt>
                <c:pt idx="41">
                  <c:v>13.88</c:v>
                </c:pt>
                <c:pt idx="42">
                  <c:v>-99</c:v>
                </c:pt>
                <c:pt idx="43">
                  <c:v>14.6</c:v>
                </c:pt>
                <c:pt idx="44">
                  <c:v>11.83</c:v>
                </c:pt>
                <c:pt idx="45">
                  <c:v>9.23</c:v>
                </c:pt>
                <c:pt idx="46">
                  <c:v>-99</c:v>
                </c:pt>
                <c:pt idx="47">
                  <c:v>-99</c:v>
                </c:pt>
                <c:pt idx="48">
                  <c:v>-99</c:v>
                </c:pt>
                <c:pt idx="49">
                  <c:v>13.59</c:v>
                </c:pt>
                <c:pt idx="50">
                  <c:v>15.94</c:v>
                </c:pt>
                <c:pt idx="51">
                  <c:v>-99</c:v>
                </c:pt>
                <c:pt idx="53">
                  <c:v>-99</c:v>
                </c:pt>
                <c:pt idx="54">
                  <c:v>-99</c:v>
                </c:pt>
                <c:pt idx="55">
                  <c:v>-99</c:v>
                </c:pt>
                <c:pt idx="56">
                  <c:v>10.9</c:v>
                </c:pt>
                <c:pt idx="57">
                  <c:v>11.97</c:v>
                </c:pt>
                <c:pt idx="58">
                  <c:v>-99</c:v>
                </c:pt>
                <c:pt idx="59">
                  <c:v>-99</c:v>
                </c:pt>
                <c:pt idx="60">
                  <c:v>-99</c:v>
                </c:pt>
                <c:pt idx="61">
                  <c:v>-99</c:v>
                </c:pt>
                <c:pt idx="62">
                  <c:v>7.61</c:v>
                </c:pt>
                <c:pt idx="63">
                  <c:v>-99</c:v>
                </c:pt>
                <c:pt idx="64">
                  <c:v>-99</c:v>
                </c:pt>
                <c:pt idx="65">
                  <c:v>11.73</c:v>
                </c:pt>
                <c:pt idx="66">
                  <c:v>-99</c:v>
                </c:pt>
                <c:pt idx="67">
                  <c:v>-99</c:v>
                </c:pt>
                <c:pt idx="68">
                  <c:v>-99</c:v>
                </c:pt>
                <c:pt idx="69">
                  <c:v>-99</c:v>
                </c:pt>
                <c:pt idx="70">
                  <c:v>-99</c:v>
                </c:pt>
                <c:pt idx="71">
                  <c:v>-99</c:v>
                </c:pt>
                <c:pt idx="72">
                  <c:v>-99</c:v>
                </c:pt>
                <c:pt idx="73">
                  <c:v>13.41</c:v>
                </c:pt>
                <c:pt idx="74">
                  <c:v>-99</c:v>
                </c:pt>
                <c:pt idx="75">
                  <c:v>-99</c:v>
                </c:pt>
                <c:pt idx="76">
                  <c:v>-99</c:v>
                </c:pt>
                <c:pt idx="77">
                  <c:v>-99</c:v>
                </c:pt>
                <c:pt idx="78">
                  <c:v>-99</c:v>
                </c:pt>
                <c:pt idx="79">
                  <c:v>-99</c:v>
                </c:pt>
                <c:pt idx="80">
                  <c:v>-99</c:v>
                </c:pt>
                <c:pt idx="81">
                  <c:v>12.99</c:v>
                </c:pt>
                <c:pt idx="82">
                  <c:v>-99</c:v>
                </c:pt>
                <c:pt idx="83">
                  <c:v>14.05</c:v>
                </c:pt>
                <c:pt idx="84">
                  <c:v>-99</c:v>
                </c:pt>
                <c:pt idx="85">
                  <c:v>12.77</c:v>
                </c:pt>
                <c:pt idx="86">
                  <c:v>8.29</c:v>
                </c:pt>
                <c:pt idx="87">
                  <c:v>-99</c:v>
                </c:pt>
                <c:pt idx="88">
                  <c:v>-99</c:v>
                </c:pt>
                <c:pt idx="89">
                  <c:v>-99</c:v>
                </c:pt>
                <c:pt idx="90">
                  <c:v>-99</c:v>
                </c:pt>
                <c:pt idx="91">
                  <c:v>-99</c:v>
                </c:pt>
                <c:pt idx="92">
                  <c:v>-99</c:v>
                </c:pt>
                <c:pt idx="93">
                  <c:v>-99</c:v>
                </c:pt>
                <c:pt idx="94">
                  <c:v>-99</c:v>
                </c:pt>
                <c:pt idx="95">
                  <c:v>-99</c:v>
                </c:pt>
                <c:pt idx="96">
                  <c:v>-99</c:v>
                </c:pt>
                <c:pt idx="97">
                  <c:v>-99</c:v>
                </c:pt>
                <c:pt idx="98">
                  <c:v>-99</c:v>
                </c:pt>
                <c:pt idx="99">
                  <c:v>-99</c:v>
                </c:pt>
                <c:pt idx="100">
                  <c:v>-99</c:v>
                </c:pt>
                <c:pt idx="101">
                  <c:v>-99</c:v>
                </c:pt>
                <c:pt idx="102">
                  <c:v>-99</c:v>
                </c:pt>
              </c:numCache>
            </c:numRef>
          </c:yVal>
          <c:smooth val="0"/>
        </c:ser>
        <c:ser>
          <c:idx val="1"/>
          <c:order val="1"/>
          <c:tx>
            <c:v>45 degree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Schooling!$J$3:$J$4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Schooling!$K$3:$K$4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286167"/>
        <c:axId val="38575504"/>
      </c:scatterChart>
      <c:val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crossBetween val="midCat"/>
        <c:dispUnits/>
      </c:valAx>
      <c:valAx>
        <c:axId val="385755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09600" y="390525"/>
        <a:ext cx="4267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75" zoomScaleNormal="75" workbookViewId="0" topLeftCell="A1">
      <pane ySplit="1395" topLeftCell="BM1" activePane="bottomLeft" state="split"/>
      <selection pane="topLeft" activeCell="A97" sqref="A97"/>
      <selection pane="bottomLeft" activeCell="J4" sqref="J4"/>
    </sheetView>
  </sheetViews>
  <sheetFormatPr defaultColWidth="9.140625" defaultRowHeight="12.75"/>
  <cols>
    <col min="1" max="1" width="10.57421875" style="0" customWidth="1"/>
    <col min="6" max="6" width="6.57421875" style="0" customWidth="1"/>
    <col min="7" max="7" width="9.28125" style="0" customWidth="1"/>
    <col min="8" max="8" width="4.7109375" style="0" bestFit="1" customWidth="1"/>
    <col min="10" max="10" width="9.8515625" style="0" customWidth="1"/>
    <col min="11" max="11" width="8.140625" style="0" bestFit="1" customWidth="1"/>
    <col min="12" max="12" width="5.28125" style="0" bestFit="1" customWidth="1"/>
    <col min="13" max="13" width="5.28125" style="0" customWidth="1"/>
    <col min="14" max="14" width="14.57421875" style="0" customWidth="1"/>
    <col min="15" max="15" width="32.00390625" style="0" customWidth="1"/>
  </cols>
  <sheetData>
    <row r="1" ht="12.75">
      <c r="A1" s="4" t="s">
        <v>289</v>
      </c>
    </row>
    <row r="2" spans="1:12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3" spans="1:12" ht="12.75">
      <c r="A3" s="11"/>
      <c r="B3" s="2" t="s">
        <v>291</v>
      </c>
      <c r="C3" s="2"/>
      <c r="D3" s="2"/>
      <c r="E3" s="2"/>
      <c r="F3" s="11" t="s">
        <v>295</v>
      </c>
      <c r="G3" s="11"/>
      <c r="H3" s="11"/>
      <c r="I3" s="11"/>
      <c r="J3" s="11"/>
      <c r="K3" s="11"/>
      <c r="L3" s="2"/>
    </row>
    <row r="4" spans="1:16" ht="38.25">
      <c r="A4" s="103" t="s">
        <v>290</v>
      </c>
      <c r="B4" s="104" t="s">
        <v>25</v>
      </c>
      <c r="C4" s="104" t="s">
        <v>292</v>
      </c>
      <c r="D4" s="104" t="s">
        <v>293</v>
      </c>
      <c r="E4" s="104" t="s">
        <v>294</v>
      </c>
      <c r="F4" s="103" t="s">
        <v>12</v>
      </c>
      <c r="G4" s="103" t="s">
        <v>296</v>
      </c>
      <c r="H4" s="103" t="s">
        <v>14</v>
      </c>
      <c r="I4" s="103" t="s">
        <v>237</v>
      </c>
      <c r="J4" s="103" t="s">
        <v>238</v>
      </c>
      <c r="K4" s="103" t="s">
        <v>202</v>
      </c>
      <c r="L4" s="104" t="s">
        <v>297</v>
      </c>
      <c r="M4" s="94"/>
      <c r="N4" s="93" t="s">
        <v>5</v>
      </c>
      <c r="O4" s="93" t="s">
        <v>9</v>
      </c>
      <c r="P4" s="93" t="s">
        <v>10</v>
      </c>
    </row>
    <row r="5" spans="1:16" ht="12.75">
      <c r="A5">
        <v>72</v>
      </c>
      <c r="B5">
        <v>8.1787</v>
      </c>
      <c r="C5">
        <v>0.1023</v>
      </c>
      <c r="D5">
        <v>0.0515</v>
      </c>
      <c r="E5">
        <v>-0.0008</v>
      </c>
      <c r="F5">
        <v>1989</v>
      </c>
      <c r="G5">
        <v>1</v>
      </c>
      <c r="H5">
        <v>1</v>
      </c>
      <c r="I5">
        <v>13.5</v>
      </c>
      <c r="J5">
        <v>20.1</v>
      </c>
      <c r="K5" s="3">
        <v>0</v>
      </c>
      <c r="L5">
        <v>1</v>
      </c>
      <c r="N5" s="3" t="s">
        <v>2</v>
      </c>
      <c r="O5" s="3" t="s">
        <v>180</v>
      </c>
      <c r="P5" s="3"/>
    </row>
    <row r="6" spans="1:16" ht="12.75">
      <c r="A6">
        <v>72</v>
      </c>
      <c r="B6">
        <v>7.9222</v>
      </c>
      <c r="C6">
        <v>0.1126</v>
      </c>
      <c r="D6">
        <v>0.0279</v>
      </c>
      <c r="E6">
        <v>-0.0005</v>
      </c>
      <c r="F6">
        <v>1989</v>
      </c>
      <c r="G6">
        <v>1</v>
      </c>
      <c r="H6">
        <v>2</v>
      </c>
      <c r="I6">
        <v>13.6</v>
      </c>
      <c r="J6">
        <v>19</v>
      </c>
      <c r="K6" s="3">
        <v>0</v>
      </c>
      <c r="L6">
        <v>1</v>
      </c>
      <c r="N6" s="3" t="s">
        <v>2</v>
      </c>
      <c r="O6" s="3" t="s">
        <v>180</v>
      </c>
      <c r="P6" s="3"/>
    </row>
    <row r="7" spans="1:16" ht="12.75">
      <c r="A7">
        <v>72</v>
      </c>
      <c r="B7">
        <v>8.0775</v>
      </c>
      <c r="C7">
        <v>0.078</v>
      </c>
      <c r="D7">
        <v>0.0493</v>
      </c>
      <c r="E7">
        <v>-0.0007</v>
      </c>
      <c r="F7">
        <v>1979</v>
      </c>
      <c r="G7">
        <v>1</v>
      </c>
      <c r="H7">
        <v>1</v>
      </c>
      <c r="I7">
        <v>13</v>
      </c>
      <c r="J7">
        <v>20.1</v>
      </c>
      <c r="K7" s="3">
        <v>0</v>
      </c>
      <c r="L7">
        <v>1</v>
      </c>
      <c r="N7" s="3" t="s">
        <v>2</v>
      </c>
      <c r="O7" s="3" t="s">
        <v>180</v>
      </c>
      <c r="P7" s="3"/>
    </row>
    <row r="8" spans="1:16" ht="12.75">
      <c r="A8">
        <v>72</v>
      </c>
      <c r="B8">
        <v>7.876</v>
      </c>
      <c r="C8">
        <v>0.0786</v>
      </c>
      <c r="D8">
        <v>0.0212</v>
      </c>
      <c r="E8">
        <v>-0.0003</v>
      </c>
      <c r="F8">
        <v>1979</v>
      </c>
      <c r="G8">
        <v>1</v>
      </c>
      <c r="H8">
        <v>2</v>
      </c>
      <c r="I8">
        <v>12.9</v>
      </c>
      <c r="J8">
        <v>19</v>
      </c>
      <c r="K8" s="3">
        <v>0</v>
      </c>
      <c r="L8">
        <v>1</v>
      </c>
      <c r="N8" s="3" t="s">
        <v>2</v>
      </c>
      <c r="O8" s="3" t="s">
        <v>180</v>
      </c>
      <c r="P8" s="3"/>
    </row>
    <row r="9" spans="1:16" ht="12.75">
      <c r="A9">
        <v>72</v>
      </c>
      <c r="B9">
        <v>4.494</v>
      </c>
      <c r="C9">
        <v>0.093</v>
      </c>
      <c r="D9">
        <v>0.032</v>
      </c>
      <c r="E9">
        <v>-0.00048</v>
      </c>
      <c r="F9">
        <v>1988</v>
      </c>
      <c r="G9">
        <v>50</v>
      </c>
      <c r="H9">
        <v>1</v>
      </c>
      <c r="I9">
        <v>13</v>
      </c>
      <c r="J9">
        <v>20</v>
      </c>
      <c r="K9" s="3">
        <v>0</v>
      </c>
      <c r="L9">
        <v>0</v>
      </c>
      <c r="N9" s="3" t="s">
        <v>2</v>
      </c>
      <c r="O9" s="3" t="s">
        <v>86</v>
      </c>
      <c r="P9" s="3"/>
    </row>
    <row r="10" spans="1:16" ht="12.75">
      <c r="A10">
        <v>72</v>
      </c>
      <c r="B10">
        <v>4.494</v>
      </c>
      <c r="C10">
        <v>0.093</v>
      </c>
      <c r="D10">
        <v>0.032</v>
      </c>
      <c r="E10">
        <v>-0.00048</v>
      </c>
      <c r="F10">
        <v>1988</v>
      </c>
      <c r="G10">
        <v>50</v>
      </c>
      <c r="H10">
        <v>2</v>
      </c>
      <c r="I10">
        <v>13</v>
      </c>
      <c r="J10">
        <v>20</v>
      </c>
      <c r="K10" s="3">
        <v>0</v>
      </c>
      <c r="L10">
        <v>0</v>
      </c>
      <c r="N10" s="3" t="s">
        <v>2</v>
      </c>
      <c r="O10" s="3" t="s">
        <v>112</v>
      </c>
      <c r="P10" s="3"/>
    </row>
    <row r="11" spans="1:16" ht="12.75">
      <c r="A11">
        <v>72</v>
      </c>
      <c r="B11">
        <v>8.657</v>
      </c>
      <c r="C11">
        <v>0.058</v>
      </c>
      <c r="D11">
        <v>0.028</v>
      </c>
      <c r="E11">
        <v>-0.000432</v>
      </c>
      <c r="F11">
        <v>1979</v>
      </c>
      <c r="G11">
        <v>1</v>
      </c>
      <c r="H11">
        <v>1</v>
      </c>
      <c r="I11">
        <v>13</v>
      </c>
      <c r="J11">
        <v>20</v>
      </c>
      <c r="K11" s="3">
        <v>0</v>
      </c>
      <c r="L11">
        <v>0</v>
      </c>
      <c r="N11" s="3" t="s">
        <v>2</v>
      </c>
      <c r="O11" s="3" t="s">
        <v>127</v>
      </c>
      <c r="P11" s="3"/>
    </row>
    <row r="12" spans="1:16" ht="12.75">
      <c r="A12">
        <v>72</v>
      </c>
      <c r="B12">
        <v>8.657</v>
      </c>
      <c r="C12">
        <v>0.058</v>
      </c>
      <c r="D12">
        <v>0.028</v>
      </c>
      <c r="E12">
        <v>-0.000432</v>
      </c>
      <c r="F12">
        <v>1979</v>
      </c>
      <c r="G12">
        <v>1</v>
      </c>
      <c r="H12">
        <v>2</v>
      </c>
      <c r="I12">
        <v>13</v>
      </c>
      <c r="J12">
        <v>20</v>
      </c>
      <c r="K12" s="3">
        <v>0</v>
      </c>
      <c r="L12">
        <v>0</v>
      </c>
      <c r="N12" s="3" t="s">
        <v>2</v>
      </c>
      <c r="O12" s="3" t="s">
        <v>128</v>
      </c>
      <c r="P12" s="3"/>
    </row>
    <row r="13" spans="1:16" ht="12.75">
      <c r="A13">
        <v>4</v>
      </c>
      <c r="B13">
        <v>3.093</v>
      </c>
      <c r="C13">
        <v>0.126</v>
      </c>
      <c r="D13">
        <v>0.07</v>
      </c>
      <c r="E13">
        <v>-0.00087</v>
      </c>
      <c r="F13">
        <v>1979</v>
      </c>
      <c r="G13">
        <v>12</v>
      </c>
      <c r="H13">
        <v>1</v>
      </c>
      <c r="I13">
        <v>4.81</v>
      </c>
      <c r="J13">
        <v>20</v>
      </c>
      <c r="K13" s="3">
        <v>1</v>
      </c>
      <c r="L13">
        <v>1</v>
      </c>
      <c r="N13" s="3" t="s">
        <v>159</v>
      </c>
      <c r="O13" t="s">
        <v>160</v>
      </c>
      <c r="P13" s="15"/>
    </row>
    <row r="14" spans="1:16" ht="12.75">
      <c r="A14">
        <v>4</v>
      </c>
      <c r="B14">
        <v>2.318</v>
      </c>
      <c r="C14">
        <v>0.191</v>
      </c>
      <c r="D14">
        <v>0.069</v>
      </c>
      <c r="E14">
        <v>-0.00097</v>
      </c>
      <c r="F14">
        <v>1979</v>
      </c>
      <c r="G14">
        <v>12</v>
      </c>
      <c r="H14">
        <v>2</v>
      </c>
      <c r="I14">
        <v>4.81</v>
      </c>
      <c r="J14">
        <v>20</v>
      </c>
      <c r="K14" s="3">
        <v>1</v>
      </c>
      <c r="L14">
        <v>1</v>
      </c>
      <c r="N14" s="3" t="s">
        <v>159</v>
      </c>
      <c r="O14" t="s">
        <v>160</v>
      </c>
      <c r="P14" s="15" t="s">
        <v>283</v>
      </c>
    </row>
    <row r="15" spans="1:16" ht="12.75">
      <c r="A15">
        <v>54</v>
      </c>
      <c r="B15">
        <v>8.996</v>
      </c>
      <c r="C15">
        <v>0.052</v>
      </c>
      <c r="D15">
        <v>0.03</v>
      </c>
      <c r="E15">
        <v>-0.000539</v>
      </c>
      <c r="F15">
        <v>1981</v>
      </c>
      <c r="G15">
        <v>1</v>
      </c>
      <c r="H15">
        <v>1</v>
      </c>
      <c r="I15">
        <v>13.2</v>
      </c>
      <c r="J15">
        <v>18.96</v>
      </c>
      <c r="K15" s="3">
        <v>1</v>
      </c>
      <c r="L15">
        <v>1</v>
      </c>
      <c r="N15" s="3" t="s">
        <v>100</v>
      </c>
      <c r="O15" t="s">
        <v>102</v>
      </c>
      <c r="P15" s="3"/>
    </row>
    <row r="16" spans="1:16" ht="12.75">
      <c r="A16">
        <v>55</v>
      </c>
      <c r="B16">
        <v>4.911852583188491</v>
      </c>
      <c r="C16">
        <v>0.156</v>
      </c>
      <c r="D16">
        <v>0.101</v>
      </c>
      <c r="E16">
        <v>-0.0012</v>
      </c>
      <c r="F16">
        <v>1981</v>
      </c>
      <c r="G16">
        <v>12</v>
      </c>
      <c r="H16">
        <v>1</v>
      </c>
      <c r="I16">
        <v>6.3</v>
      </c>
      <c r="J16">
        <v>21</v>
      </c>
      <c r="K16">
        <v>1</v>
      </c>
      <c r="L16">
        <v>1</v>
      </c>
      <c r="N16" t="s">
        <v>138</v>
      </c>
      <c r="O16" t="s">
        <v>186</v>
      </c>
      <c r="P16" s="29" t="s">
        <v>148</v>
      </c>
    </row>
    <row r="17" spans="1:16" ht="12.75">
      <c r="A17">
        <v>55</v>
      </c>
      <c r="B17">
        <v>4.5061976691847505</v>
      </c>
      <c r="C17">
        <v>0.206</v>
      </c>
      <c r="D17">
        <v>0.083</v>
      </c>
      <c r="E17">
        <v>-0.0011</v>
      </c>
      <c r="F17">
        <v>1981</v>
      </c>
      <c r="G17">
        <v>12</v>
      </c>
      <c r="H17">
        <v>2</v>
      </c>
      <c r="I17">
        <v>7.7</v>
      </c>
      <c r="J17">
        <v>17</v>
      </c>
      <c r="K17">
        <v>1</v>
      </c>
      <c r="L17">
        <v>1</v>
      </c>
      <c r="N17" t="s">
        <v>138</v>
      </c>
      <c r="O17" t="s">
        <v>186</v>
      </c>
      <c r="P17" s="29" t="s">
        <v>148</v>
      </c>
    </row>
    <row r="18" spans="1:15" ht="12.75">
      <c r="A18">
        <v>55</v>
      </c>
      <c r="B18">
        <v>8.283091513060237</v>
      </c>
      <c r="C18">
        <v>0.105</v>
      </c>
      <c r="D18">
        <v>0.042</v>
      </c>
      <c r="E18">
        <v>-0.0005</v>
      </c>
      <c r="F18">
        <v>1989</v>
      </c>
      <c r="G18">
        <v>12</v>
      </c>
      <c r="H18">
        <v>1</v>
      </c>
      <c r="I18">
        <v>6.4</v>
      </c>
      <c r="J18">
        <v>22</v>
      </c>
      <c r="K18">
        <v>1</v>
      </c>
      <c r="L18">
        <v>1</v>
      </c>
      <c r="N18" t="s">
        <v>138</v>
      </c>
      <c r="O18" t="s">
        <v>186</v>
      </c>
    </row>
    <row r="19" spans="1:15" ht="12.75">
      <c r="A19">
        <v>55</v>
      </c>
      <c r="B19">
        <v>7.756339748360624</v>
      </c>
      <c r="C19">
        <v>0.135</v>
      </c>
      <c r="D19">
        <v>0.033</v>
      </c>
      <c r="E19">
        <v>-0.0004</v>
      </c>
      <c r="F19">
        <v>1989</v>
      </c>
      <c r="G19">
        <v>12</v>
      </c>
      <c r="H19">
        <v>2</v>
      </c>
      <c r="I19">
        <v>8.1</v>
      </c>
      <c r="J19">
        <v>18</v>
      </c>
      <c r="K19">
        <v>1</v>
      </c>
      <c r="L19">
        <v>1</v>
      </c>
      <c r="N19" t="s">
        <v>138</v>
      </c>
      <c r="O19" t="s">
        <v>186</v>
      </c>
    </row>
    <row r="20" spans="1:15" ht="12.75">
      <c r="A20">
        <v>57</v>
      </c>
      <c r="B20">
        <v>5.0753988561660295</v>
      </c>
      <c r="C20">
        <v>0.078</v>
      </c>
      <c r="D20">
        <v>0.055</v>
      </c>
      <c r="E20">
        <v>-0.0008</v>
      </c>
      <c r="F20">
        <v>1989</v>
      </c>
      <c r="G20">
        <v>12</v>
      </c>
      <c r="H20">
        <v>1</v>
      </c>
      <c r="I20">
        <v>8.4</v>
      </c>
      <c r="J20">
        <v>19</v>
      </c>
      <c r="K20">
        <v>1</v>
      </c>
      <c r="L20">
        <v>1</v>
      </c>
      <c r="N20" t="s">
        <v>139</v>
      </c>
      <c r="O20" t="s">
        <v>186</v>
      </c>
    </row>
    <row r="21" spans="1:15" ht="12.75">
      <c r="A21">
        <v>57</v>
      </c>
      <c r="B21">
        <v>4.551538909830053</v>
      </c>
      <c r="C21">
        <v>0.12</v>
      </c>
      <c r="D21">
        <v>0.032</v>
      </c>
      <c r="E21">
        <v>-0.0004</v>
      </c>
      <c r="F21">
        <v>1989</v>
      </c>
      <c r="G21">
        <v>12</v>
      </c>
      <c r="H21">
        <v>2</v>
      </c>
      <c r="I21">
        <v>9.5</v>
      </c>
      <c r="J21">
        <v>15</v>
      </c>
      <c r="K21">
        <v>1</v>
      </c>
      <c r="L21">
        <v>1</v>
      </c>
      <c r="N21" t="s">
        <v>139</v>
      </c>
      <c r="O21" t="s">
        <v>186</v>
      </c>
    </row>
    <row r="22" spans="1:15" ht="12.75">
      <c r="A22">
        <v>58</v>
      </c>
      <c r="B22">
        <v>5.434223653253319</v>
      </c>
      <c r="C22">
        <v>0.096</v>
      </c>
      <c r="D22">
        <v>0.041</v>
      </c>
      <c r="E22">
        <v>-0.0005</v>
      </c>
      <c r="F22">
        <v>1990</v>
      </c>
      <c r="G22">
        <v>12</v>
      </c>
      <c r="H22">
        <v>1</v>
      </c>
      <c r="I22">
        <v>7</v>
      </c>
      <c r="J22">
        <v>22</v>
      </c>
      <c r="K22">
        <v>1</v>
      </c>
      <c r="L22">
        <v>1</v>
      </c>
      <c r="N22" t="s">
        <v>131</v>
      </c>
      <c r="O22" t="s">
        <v>186</v>
      </c>
    </row>
    <row r="23" spans="1:15" ht="12.75">
      <c r="A23">
        <v>58</v>
      </c>
      <c r="B23">
        <v>5.279867823430383</v>
      </c>
      <c r="C23">
        <v>0.098</v>
      </c>
      <c r="D23">
        <v>0.034</v>
      </c>
      <c r="E23">
        <v>-0.0004</v>
      </c>
      <c r="F23">
        <v>1990</v>
      </c>
      <c r="G23">
        <v>12</v>
      </c>
      <c r="H23">
        <v>2</v>
      </c>
      <c r="I23">
        <v>6.7</v>
      </c>
      <c r="J23">
        <v>23</v>
      </c>
      <c r="K23">
        <v>1</v>
      </c>
      <c r="L23">
        <v>1</v>
      </c>
      <c r="N23" t="s">
        <v>131</v>
      </c>
      <c r="O23" t="s">
        <v>186</v>
      </c>
    </row>
    <row r="24" spans="1:15" ht="12.75">
      <c r="A24">
        <v>60</v>
      </c>
      <c r="B24">
        <v>3.90968591641417</v>
      </c>
      <c r="C24">
        <v>0.142</v>
      </c>
      <c r="D24">
        <v>0.044</v>
      </c>
      <c r="E24">
        <v>-0.0006</v>
      </c>
      <c r="F24">
        <v>1989</v>
      </c>
      <c r="G24">
        <v>12</v>
      </c>
      <c r="H24">
        <v>1</v>
      </c>
      <c r="I24">
        <v>4</v>
      </c>
      <c r="J24">
        <v>24</v>
      </c>
      <c r="K24">
        <v>1</v>
      </c>
      <c r="L24">
        <v>1</v>
      </c>
      <c r="N24" t="s">
        <v>141</v>
      </c>
      <c r="O24" t="s">
        <v>186</v>
      </c>
    </row>
    <row r="25" spans="1:15" ht="12.75">
      <c r="A25">
        <v>60</v>
      </c>
      <c r="B25">
        <v>3.5064804540288934</v>
      </c>
      <c r="C25">
        <v>0.163</v>
      </c>
      <c r="D25">
        <v>0.041</v>
      </c>
      <c r="E25">
        <v>-0.0006</v>
      </c>
      <c r="F25">
        <v>1989</v>
      </c>
      <c r="G25">
        <v>12</v>
      </c>
      <c r="H25">
        <v>2</v>
      </c>
      <c r="I25">
        <v>4.8</v>
      </c>
      <c r="J25">
        <v>21</v>
      </c>
      <c r="K25">
        <v>1</v>
      </c>
      <c r="L25">
        <v>1</v>
      </c>
      <c r="N25" t="s">
        <v>141</v>
      </c>
      <c r="O25" t="s">
        <v>186</v>
      </c>
    </row>
    <row r="26" spans="1:15" ht="12.75">
      <c r="A26">
        <v>62</v>
      </c>
      <c r="B26">
        <v>3.8625122628360513</v>
      </c>
      <c r="C26">
        <v>0.172</v>
      </c>
      <c r="D26">
        <v>0.058</v>
      </c>
      <c r="E26">
        <v>-0.0007</v>
      </c>
      <c r="F26">
        <v>1989</v>
      </c>
      <c r="G26">
        <v>12</v>
      </c>
      <c r="H26">
        <v>1</v>
      </c>
      <c r="I26">
        <v>6.1</v>
      </c>
      <c r="J26">
        <v>20</v>
      </c>
      <c r="K26">
        <v>1</v>
      </c>
      <c r="L26">
        <v>1</v>
      </c>
      <c r="N26" t="s">
        <v>142</v>
      </c>
      <c r="O26" t="s">
        <v>186</v>
      </c>
    </row>
    <row r="27" spans="1:15" ht="12.75">
      <c r="A27">
        <v>62</v>
      </c>
      <c r="B27">
        <v>3.3666046633323203</v>
      </c>
      <c r="C27">
        <v>0.198</v>
      </c>
      <c r="D27">
        <v>0.049</v>
      </c>
      <c r="E27">
        <v>-0.0006</v>
      </c>
      <c r="F27">
        <v>1989</v>
      </c>
      <c r="G27">
        <v>12</v>
      </c>
      <c r="H27">
        <v>2</v>
      </c>
      <c r="I27">
        <v>7.1</v>
      </c>
      <c r="J27">
        <v>18</v>
      </c>
      <c r="K27">
        <v>1</v>
      </c>
      <c r="L27">
        <v>1</v>
      </c>
      <c r="N27" t="s">
        <v>142</v>
      </c>
      <c r="O27" t="s">
        <v>186</v>
      </c>
    </row>
    <row r="28" spans="1:16" ht="12.75">
      <c r="A28">
        <v>63</v>
      </c>
      <c r="B28">
        <v>2.9901409924521873</v>
      </c>
      <c r="C28">
        <v>0.28</v>
      </c>
      <c r="D28">
        <v>0.083</v>
      </c>
      <c r="E28">
        <v>-0.0011</v>
      </c>
      <c r="F28">
        <v>1989</v>
      </c>
      <c r="G28">
        <v>1</v>
      </c>
      <c r="H28">
        <v>1</v>
      </c>
      <c r="I28">
        <v>5.5</v>
      </c>
      <c r="J28">
        <v>19</v>
      </c>
      <c r="K28">
        <v>1</v>
      </c>
      <c r="L28">
        <v>1</v>
      </c>
      <c r="N28" t="s">
        <v>132</v>
      </c>
      <c r="O28" t="s">
        <v>186</v>
      </c>
      <c r="P28" s="15" t="s">
        <v>275</v>
      </c>
    </row>
    <row r="29" spans="1:16" ht="12.75">
      <c r="A29">
        <v>63</v>
      </c>
      <c r="B29">
        <v>2.7326023865837454</v>
      </c>
      <c r="C29">
        <v>0.317</v>
      </c>
      <c r="D29">
        <v>0.039</v>
      </c>
      <c r="E29">
        <v>-0.0007</v>
      </c>
      <c r="F29">
        <v>1989</v>
      </c>
      <c r="G29">
        <v>1</v>
      </c>
      <c r="H29">
        <v>2</v>
      </c>
      <c r="I29">
        <v>5.2</v>
      </c>
      <c r="J29">
        <v>20</v>
      </c>
      <c r="K29">
        <v>1</v>
      </c>
      <c r="L29">
        <v>1</v>
      </c>
      <c r="N29" t="s">
        <v>132</v>
      </c>
      <c r="O29" t="s">
        <v>186</v>
      </c>
      <c r="P29" s="15" t="s">
        <v>275</v>
      </c>
    </row>
    <row r="30" spans="1:16" ht="12.75">
      <c r="A30">
        <v>64</v>
      </c>
      <c r="B30">
        <v>9.11</v>
      </c>
      <c r="C30">
        <v>0.141</v>
      </c>
      <c r="D30">
        <v>0.084</v>
      </c>
      <c r="E30">
        <v>-0.001</v>
      </c>
      <c r="F30">
        <v>1984</v>
      </c>
      <c r="G30">
        <v>4</v>
      </c>
      <c r="H30">
        <v>1</v>
      </c>
      <c r="I30">
        <v>6.3</v>
      </c>
      <c r="J30">
        <v>21</v>
      </c>
      <c r="K30">
        <v>1</v>
      </c>
      <c r="L30">
        <v>1</v>
      </c>
      <c r="N30" t="s">
        <v>124</v>
      </c>
      <c r="O30" t="s">
        <v>186</v>
      </c>
      <c r="P30" t="s">
        <v>151</v>
      </c>
    </row>
    <row r="31" spans="1:15" ht="12.75">
      <c r="A31">
        <v>64</v>
      </c>
      <c r="B31">
        <v>9.101</v>
      </c>
      <c r="C31">
        <v>0.15</v>
      </c>
      <c r="D31">
        <v>0.065</v>
      </c>
      <c r="E31">
        <v>-0.001</v>
      </c>
      <c r="F31">
        <v>1984</v>
      </c>
      <c r="G31">
        <v>4</v>
      </c>
      <c r="H31">
        <v>2</v>
      </c>
      <c r="I31">
        <v>7.5</v>
      </c>
      <c r="J31">
        <v>17</v>
      </c>
      <c r="K31">
        <v>1</v>
      </c>
      <c r="L31">
        <v>1</v>
      </c>
      <c r="N31" t="s">
        <v>124</v>
      </c>
      <c r="O31" t="s">
        <v>186</v>
      </c>
    </row>
    <row r="32" spans="1:15" ht="12.75">
      <c r="A32">
        <v>65</v>
      </c>
      <c r="B32">
        <v>4.65</v>
      </c>
      <c r="C32">
        <v>0.097</v>
      </c>
      <c r="D32">
        <v>0.05</v>
      </c>
      <c r="E32">
        <v>-0.0008</v>
      </c>
      <c r="F32">
        <v>1978</v>
      </c>
      <c r="G32">
        <v>12</v>
      </c>
      <c r="H32">
        <v>1</v>
      </c>
      <c r="I32">
        <v>6.5</v>
      </c>
      <c r="J32">
        <v>17.6</v>
      </c>
      <c r="K32">
        <v>1</v>
      </c>
      <c r="L32">
        <v>1</v>
      </c>
      <c r="N32" t="s">
        <v>161</v>
      </c>
      <c r="O32" t="s">
        <v>163</v>
      </c>
    </row>
    <row r="33" spans="1:15" ht="12.75">
      <c r="A33">
        <v>65</v>
      </c>
      <c r="B33">
        <v>3.95</v>
      </c>
      <c r="C33">
        <v>0.13</v>
      </c>
      <c r="D33">
        <v>0.065</v>
      </c>
      <c r="E33">
        <v>-0.00097</v>
      </c>
      <c r="F33">
        <v>1978</v>
      </c>
      <c r="G33">
        <v>12</v>
      </c>
      <c r="H33">
        <v>2</v>
      </c>
      <c r="I33">
        <v>5.1</v>
      </c>
      <c r="J33">
        <v>6.6</v>
      </c>
      <c r="K33">
        <v>1</v>
      </c>
      <c r="L33">
        <v>1</v>
      </c>
      <c r="N33" t="s">
        <v>161</v>
      </c>
      <c r="O33" t="s">
        <v>163</v>
      </c>
    </row>
    <row r="34" spans="1:15" ht="12.75">
      <c r="A34">
        <v>66</v>
      </c>
      <c r="B34">
        <v>3.6777352747380414</v>
      </c>
      <c r="C34">
        <v>0.123</v>
      </c>
      <c r="D34">
        <v>0.047</v>
      </c>
      <c r="E34">
        <v>-0.0006</v>
      </c>
      <c r="F34">
        <v>1979</v>
      </c>
      <c r="G34">
        <v>12</v>
      </c>
      <c r="H34">
        <v>1</v>
      </c>
      <c r="I34">
        <v>7.8</v>
      </c>
      <c r="J34">
        <v>20</v>
      </c>
      <c r="K34">
        <v>1</v>
      </c>
      <c r="L34">
        <v>1</v>
      </c>
      <c r="N34" t="s">
        <v>144</v>
      </c>
      <c r="O34" t="s">
        <v>186</v>
      </c>
    </row>
    <row r="35" spans="1:15" ht="12.75">
      <c r="A35">
        <v>66</v>
      </c>
      <c r="B35">
        <v>2.9377848378604354</v>
      </c>
      <c r="C35">
        <v>0.157</v>
      </c>
      <c r="D35">
        <v>0.052</v>
      </c>
      <c r="E35">
        <v>-0.0007</v>
      </c>
      <c r="F35">
        <v>1979</v>
      </c>
      <c r="G35">
        <v>12</v>
      </c>
      <c r="H35">
        <v>2</v>
      </c>
      <c r="I35">
        <v>9.6</v>
      </c>
      <c r="J35">
        <v>16</v>
      </c>
      <c r="K35">
        <v>1</v>
      </c>
      <c r="L35">
        <v>1</v>
      </c>
      <c r="N35" t="s">
        <v>144</v>
      </c>
      <c r="O35" t="s">
        <v>186</v>
      </c>
    </row>
    <row r="36" spans="1:15" ht="12.75">
      <c r="A36">
        <v>66</v>
      </c>
      <c r="B36">
        <v>3.4366012811011872</v>
      </c>
      <c r="C36">
        <v>0.126</v>
      </c>
      <c r="D36">
        <v>0.066</v>
      </c>
      <c r="E36">
        <v>-0.0008</v>
      </c>
      <c r="F36">
        <v>1989</v>
      </c>
      <c r="G36">
        <v>12</v>
      </c>
      <c r="H36">
        <v>1</v>
      </c>
      <c r="I36">
        <v>8.6</v>
      </c>
      <c r="J36">
        <v>21</v>
      </c>
      <c r="K36">
        <v>1</v>
      </c>
      <c r="L36">
        <v>1</v>
      </c>
      <c r="N36" t="s">
        <v>144</v>
      </c>
      <c r="O36" t="s">
        <v>186</v>
      </c>
    </row>
    <row r="37" spans="1:15" ht="12.75">
      <c r="A37">
        <v>66</v>
      </c>
      <c r="B37">
        <v>2.671193546613933</v>
      </c>
      <c r="C37">
        <v>0.171</v>
      </c>
      <c r="D37">
        <v>0.061</v>
      </c>
      <c r="E37">
        <v>-0.0007</v>
      </c>
      <c r="F37">
        <v>1989</v>
      </c>
      <c r="G37">
        <v>12</v>
      </c>
      <c r="H37">
        <v>2</v>
      </c>
      <c r="I37">
        <v>10.1</v>
      </c>
      <c r="J37">
        <v>19</v>
      </c>
      <c r="K37">
        <v>1</v>
      </c>
      <c r="L37">
        <v>1</v>
      </c>
      <c r="N37" t="s">
        <v>144</v>
      </c>
      <c r="O37" t="s">
        <v>186</v>
      </c>
    </row>
    <row r="38" spans="1:16" ht="12.75">
      <c r="A38">
        <v>67</v>
      </c>
      <c r="B38">
        <v>0.06899999999999999</v>
      </c>
      <c r="C38">
        <v>0.077</v>
      </c>
      <c r="D38">
        <v>0.024</v>
      </c>
      <c r="E38">
        <v>-0.0003</v>
      </c>
      <c r="F38">
        <v>1980</v>
      </c>
      <c r="G38">
        <v>2000</v>
      </c>
      <c r="H38">
        <v>1</v>
      </c>
      <c r="I38">
        <v>10.8</v>
      </c>
      <c r="J38">
        <v>21.3</v>
      </c>
      <c r="K38">
        <v>1</v>
      </c>
      <c r="L38">
        <v>1</v>
      </c>
      <c r="N38" t="s">
        <v>51</v>
      </c>
      <c r="O38" t="s">
        <v>53</v>
      </c>
      <c r="P38" t="s">
        <v>122</v>
      </c>
    </row>
    <row r="39" spans="1:16" ht="12.75">
      <c r="A39">
        <v>67</v>
      </c>
      <c r="B39">
        <v>0.06899999999999999</v>
      </c>
      <c r="C39">
        <v>0.077</v>
      </c>
      <c r="D39">
        <v>0.024</v>
      </c>
      <c r="E39">
        <v>-0.0003</v>
      </c>
      <c r="F39">
        <v>1980</v>
      </c>
      <c r="G39">
        <v>2000</v>
      </c>
      <c r="H39">
        <v>2</v>
      </c>
      <c r="I39">
        <v>10.8</v>
      </c>
      <c r="J39">
        <v>21.3</v>
      </c>
      <c r="K39">
        <v>1</v>
      </c>
      <c r="L39">
        <v>1</v>
      </c>
      <c r="N39" t="s">
        <v>51</v>
      </c>
      <c r="O39" t="s">
        <v>53</v>
      </c>
      <c r="P39" t="s">
        <v>123</v>
      </c>
    </row>
    <row r="40" spans="1:16" ht="12.75">
      <c r="A40">
        <v>73</v>
      </c>
      <c r="B40">
        <v>5.015740983258603</v>
      </c>
      <c r="C40">
        <v>0.08</v>
      </c>
      <c r="D40">
        <v>0.087</v>
      </c>
      <c r="E40">
        <v>-0.0004</v>
      </c>
      <c r="F40">
        <v>1980</v>
      </c>
      <c r="G40">
        <v>12000</v>
      </c>
      <c r="H40">
        <v>1</v>
      </c>
      <c r="I40">
        <v>8.1</v>
      </c>
      <c r="J40">
        <v>21</v>
      </c>
      <c r="K40" s="3">
        <v>1</v>
      </c>
      <c r="L40">
        <v>1</v>
      </c>
      <c r="N40" s="3" t="s">
        <v>133</v>
      </c>
      <c r="O40" t="s">
        <v>186</v>
      </c>
      <c r="P40" s="15" t="s">
        <v>271</v>
      </c>
    </row>
    <row r="41" spans="1:16" ht="12.75">
      <c r="A41">
        <v>73</v>
      </c>
      <c r="B41">
        <v>3.790842586082329</v>
      </c>
      <c r="C41">
        <v>0.098</v>
      </c>
      <c r="D41">
        <v>0.017</v>
      </c>
      <c r="E41">
        <v>-0.0002</v>
      </c>
      <c r="F41">
        <v>1980</v>
      </c>
      <c r="G41">
        <v>12000</v>
      </c>
      <c r="H41">
        <v>2</v>
      </c>
      <c r="I41">
        <v>7.8</v>
      </c>
      <c r="J41">
        <v>23</v>
      </c>
      <c r="K41" s="3">
        <v>1</v>
      </c>
      <c r="L41">
        <v>0</v>
      </c>
      <c r="N41" s="3" t="s">
        <v>133</v>
      </c>
      <c r="O41" t="str">
        <f>O40</f>
        <v>Psacharopoulos and Ng (1992)</v>
      </c>
      <c r="P41" s="15" t="s">
        <v>270</v>
      </c>
    </row>
    <row r="42" spans="1:16" ht="12.75">
      <c r="A42">
        <v>73</v>
      </c>
      <c r="B42">
        <v>7.202167695753628</v>
      </c>
      <c r="C42">
        <v>0.107</v>
      </c>
      <c r="D42">
        <v>0.052</v>
      </c>
      <c r="E42">
        <v>-0.0007</v>
      </c>
      <c r="F42">
        <v>1989</v>
      </c>
      <c r="G42">
        <v>12</v>
      </c>
      <c r="H42">
        <v>1</v>
      </c>
      <c r="I42">
        <v>8.7</v>
      </c>
      <c r="J42">
        <v>23</v>
      </c>
      <c r="K42" s="3">
        <v>1</v>
      </c>
      <c r="L42">
        <v>1</v>
      </c>
      <c r="N42" s="3" t="s">
        <v>133</v>
      </c>
      <c r="O42" t="str">
        <f>O41</f>
        <v>Psacharopoulos and Ng (1992)</v>
      </c>
      <c r="P42" s="3"/>
    </row>
    <row r="43" spans="1:16" ht="12.75">
      <c r="A43">
        <v>73</v>
      </c>
      <c r="B43">
        <v>6.8332761736891054</v>
      </c>
      <c r="C43">
        <v>0.112</v>
      </c>
      <c r="D43">
        <v>0.039</v>
      </c>
      <c r="E43">
        <v>-0.0006</v>
      </c>
      <c r="F43">
        <v>1989</v>
      </c>
      <c r="G43">
        <v>12</v>
      </c>
      <c r="H43">
        <v>2</v>
      </c>
      <c r="I43">
        <v>9.8</v>
      </c>
      <c r="J43">
        <v>21</v>
      </c>
      <c r="K43" s="3">
        <v>1</v>
      </c>
      <c r="L43">
        <v>1</v>
      </c>
      <c r="N43" s="3" t="s">
        <v>133</v>
      </c>
      <c r="O43" t="str">
        <f>O42</f>
        <v>Psacharopoulos and Ng (1992)</v>
      </c>
      <c r="P43" s="3"/>
    </row>
    <row r="44" spans="1:16" ht="12.75">
      <c r="A44">
        <v>74</v>
      </c>
      <c r="B44">
        <v>4.377160230723822</v>
      </c>
      <c r="C44">
        <v>0.073</v>
      </c>
      <c r="D44">
        <v>0.046</v>
      </c>
      <c r="E44">
        <v>-0.0006</v>
      </c>
      <c r="F44">
        <v>1989</v>
      </c>
      <c r="G44">
        <v>12</v>
      </c>
      <c r="H44">
        <v>1</v>
      </c>
      <c r="I44">
        <v>9.5</v>
      </c>
      <c r="J44">
        <v>19</v>
      </c>
      <c r="K44" s="3">
        <v>1</v>
      </c>
      <c r="L44">
        <v>1</v>
      </c>
      <c r="N44" s="3" t="s">
        <v>136</v>
      </c>
      <c r="O44" t="s">
        <v>186</v>
      </c>
      <c r="P44" s="15"/>
    </row>
    <row r="45" spans="1:16" ht="12.75">
      <c r="A45">
        <v>74</v>
      </c>
      <c r="B45">
        <v>4.158296301724079</v>
      </c>
      <c r="C45">
        <v>0.077</v>
      </c>
      <c r="D45">
        <v>0.028</v>
      </c>
      <c r="E45">
        <v>-0.0004</v>
      </c>
      <c r="F45">
        <v>1989</v>
      </c>
      <c r="G45">
        <v>12</v>
      </c>
      <c r="H45">
        <v>2</v>
      </c>
      <c r="I45">
        <v>11.5</v>
      </c>
      <c r="J45">
        <v>16</v>
      </c>
      <c r="K45" s="3">
        <v>1</v>
      </c>
      <c r="L45">
        <v>1</v>
      </c>
      <c r="N45" s="3" t="s">
        <v>136</v>
      </c>
      <c r="O45" t="s">
        <v>186</v>
      </c>
      <c r="P45" s="15"/>
    </row>
    <row r="46" spans="1:16" ht="12.75">
      <c r="A46">
        <v>75</v>
      </c>
      <c r="B46">
        <v>7.438021183340927</v>
      </c>
      <c r="C46">
        <v>0.118</v>
      </c>
      <c r="D46">
        <v>0.07</v>
      </c>
      <c r="E46">
        <v>-0.0011</v>
      </c>
      <c r="F46">
        <v>1979</v>
      </c>
      <c r="G46">
        <v>12</v>
      </c>
      <c r="H46">
        <v>1</v>
      </c>
      <c r="I46">
        <v>5.2</v>
      </c>
      <c r="J46">
        <v>21</v>
      </c>
      <c r="K46" s="3">
        <v>1</v>
      </c>
      <c r="L46">
        <v>1</v>
      </c>
      <c r="N46" s="3" t="s">
        <v>22</v>
      </c>
      <c r="O46" t="s">
        <v>186</v>
      </c>
      <c r="P46" s="3"/>
    </row>
    <row r="47" spans="1:16" ht="12.75">
      <c r="A47">
        <v>75</v>
      </c>
      <c r="B47">
        <v>7.446105571885273</v>
      </c>
      <c r="C47">
        <v>0.089</v>
      </c>
      <c r="D47">
        <v>0.053</v>
      </c>
      <c r="E47">
        <v>-0.0009</v>
      </c>
      <c r="F47">
        <v>1979</v>
      </c>
      <c r="G47">
        <v>12</v>
      </c>
      <c r="H47">
        <v>2</v>
      </c>
      <c r="I47">
        <v>5.5</v>
      </c>
      <c r="J47">
        <v>18</v>
      </c>
      <c r="K47" s="3">
        <v>1</v>
      </c>
      <c r="L47">
        <v>1</v>
      </c>
      <c r="N47" s="3" t="s">
        <v>22</v>
      </c>
      <c r="O47" t="s">
        <v>186</v>
      </c>
      <c r="P47" s="3"/>
    </row>
    <row r="48" spans="1:16" ht="12.75">
      <c r="A48">
        <v>75</v>
      </c>
      <c r="B48">
        <v>4.75387883291162</v>
      </c>
      <c r="C48">
        <v>0.154</v>
      </c>
      <c r="D48">
        <v>0.073</v>
      </c>
      <c r="E48">
        <v>-0.001</v>
      </c>
      <c r="F48">
        <v>1989</v>
      </c>
      <c r="G48">
        <v>12</v>
      </c>
      <c r="H48">
        <v>1</v>
      </c>
      <c r="I48">
        <v>5</v>
      </c>
      <c r="J48">
        <v>22</v>
      </c>
      <c r="K48" s="3">
        <v>1</v>
      </c>
      <c r="L48">
        <v>1</v>
      </c>
      <c r="N48" s="3" t="s">
        <v>22</v>
      </c>
      <c r="O48" t="s">
        <v>186</v>
      </c>
      <c r="P48" s="3"/>
    </row>
    <row r="49" spans="1:16" ht="12.75">
      <c r="A49">
        <v>75</v>
      </c>
      <c r="B49">
        <v>4.49381917944714</v>
      </c>
      <c r="C49">
        <v>0.142</v>
      </c>
      <c r="D49">
        <v>0.051</v>
      </c>
      <c r="E49">
        <v>-0.0008</v>
      </c>
      <c r="F49">
        <v>1989</v>
      </c>
      <c r="G49">
        <v>12</v>
      </c>
      <c r="H49">
        <v>2</v>
      </c>
      <c r="I49">
        <v>5.9</v>
      </c>
      <c r="J49">
        <v>20</v>
      </c>
      <c r="K49" s="3">
        <v>1</v>
      </c>
      <c r="L49">
        <v>1</v>
      </c>
      <c r="N49" s="3" t="s">
        <v>22</v>
      </c>
      <c r="O49" t="s">
        <v>186</v>
      </c>
      <c r="P49" s="3"/>
    </row>
    <row r="50" spans="1:16" ht="12.75">
      <c r="A50">
        <v>76</v>
      </c>
      <c r="B50">
        <v>8.62508237637726</v>
      </c>
      <c r="C50">
        <v>0.121</v>
      </c>
      <c r="D50">
        <v>0.048</v>
      </c>
      <c r="E50">
        <v>-0.0005</v>
      </c>
      <c r="F50">
        <v>1989</v>
      </c>
      <c r="G50">
        <v>12</v>
      </c>
      <c r="H50">
        <v>1</v>
      </c>
      <c r="I50">
        <v>8.2</v>
      </c>
      <c r="J50">
        <v>22</v>
      </c>
      <c r="K50" s="3">
        <v>1</v>
      </c>
      <c r="L50">
        <v>1</v>
      </c>
      <c r="N50" s="3" t="s">
        <v>137</v>
      </c>
      <c r="O50" t="s">
        <v>186</v>
      </c>
      <c r="P50" s="3"/>
    </row>
    <row r="51" spans="1:16" ht="12.75">
      <c r="A51">
        <v>76</v>
      </c>
      <c r="B51">
        <v>8.340278983974368</v>
      </c>
      <c r="C51">
        <v>0.132</v>
      </c>
      <c r="D51">
        <v>0.029</v>
      </c>
      <c r="E51">
        <v>-0.0002</v>
      </c>
      <c r="F51">
        <v>1989</v>
      </c>
      <c r="G51">
        <v>12</v>
      </c>
      <c r="H51">
        <v>2</v>
      </c>
      <c r="I51">
        <v>9.4</v>
      </c>
      <c r="J51">
        <v>20</v>
      </c>
      <c r="K51" s="3">
        <v>1</v>
      </c>
      <c r="L51">
        <v>1</v>
      </c>
      <c r="N51" s="3" t="s">
        <v>137</v>
      </c>
      <c r="O51" t="s">
        <v>186</v>
      </c>
      <c r="P51" s="3"/>
    </row>
    <row r="52" spans="1:16" ht="12.75">
      <c r="A52">
        <v>77</v>
      </c>
      <c r="B52">
        <v>6.213249087144118</v>
      </c>
      <c r="C52">
        <v>0.186</v>
      </c>
      <c r="D52">
        <v>0.081</v>
      </c>
      <c r="E52">
        <v>-0.001</v>
      </c>
      <c r="F52">
        <v>1980</v>
      </c>
      <c r="G52">
        <v>12</v>
      </c>
      <c r="H52">
        <v>1</v>
      </c>
      <c r="I52">
        <v>7</v>
      </c>
      <c r="J52">
        <v>21</v>
      </c>
      <c r="K52">
        <v>1</v>
      </c>
      <c r="L52">
        <v>1</v>
      </c>
      <c r="N52" t="s">
        <v>21</v>
      </c>
      <c r="O52" t="s">
        <v>186</v>
      </c>
      <c r="P52" s="29" t="s">
        <v>272</v>
      </c>
    </row>
    <row r="53" spans="1:15" ht="12.75">
      <c r="A53">
        <v>77</v>
      </c>
      <c r="B53">
        <v>6.508126085774208</v>
      </c>
      <c r="C53">
        <v>0.173</v>
      </c>
      <c r="D53">
        <v>0.042</v>
      </c>
      <c r="E53">
        <v>-0.0005</v>
      </c>
      <c r="F53">
        <v>1980</v>
      </c>
      <c r="G53">
        <v>12</v>
      </c>
      <c r="H53">
        <v>2</v>
      </c>
      <c r="I53">
        <v>6.8</v>
      </c>
      <c r="J53">
        <v>18</v>
      </c>
      <c r="K53">
        <v>1</v>
      </c>
      <c r="L53">
        <v>1</v>
      </c>
      <c r="N53" t="s">
        <v>21</v>
      </c>
      <c r="O53" t="s">
        <v>186</v>
      </c>
    </row>
    <row r="54" spans="1:15" ht="12.75">
      <c r="A54">
        <v>77</v>
      </c>
      <c r="B54">
        <v>8.571345846323247</v>
      </c>
      <c r="C54">
        <v>0.145</v>
      </c>
      <c r="D54">
        <v>0.059</v>
      </c>
      <c r="E54">
        <v>-0.0006</v>
      </c>
      <c r="F54">
        <v>1989</v>
      </c>
      <c r="G54">
        <v>12</v>
      </c>
      <c r="H54">
        <v>1</v>
      </c>
      <c r="I54">
        <v>8.1</v>
      </c>
      <c r="J54">
        <v>21</v>
      </c>
      <c r="K54">
        <v>1</v>
      </c>
      <c r="L54">
        <v>1</v>
      </c>
      <c r="N54" t="s">
        <v>21</v>
      </c>
      <c r="O54" t="s">
        <v>186</v>
      </c>
    </row>
    <row r="55" spans="1:15" ht="12.75">
      <c r="A55">
        <v>77</v>
      </c>
      <c r="B55">
        <v>8.860793164075659</v>
      </c>
      <c r="C55">
        <v>0.129</v>
      </c>
      <c r="D55">
        <v>0.035</v>
      </c>
      <c r="E55">
        <v>-0.0004</v>
      </c>
      <c r="F55">
        <v>1989</v>
      </c>
      <c r="G55">
        <v>12</v>
      </c>
      <c r="H55">
        <v>2</v>
      </c>
      <c r="I55">
        <v>8.3</v>
      </c>
      <c r="J55">
        <v>18</v>
      </c>
      <c r="K55">
        <v>1</v>
      </c>
      <c r="L55">
        <v>1</v>
      </c>
      <c r="N55" t="s">
        <v>21</v>
      </c>
      <c r="O55" t="s">
        <v>186</v>
      </c>
    </row>
    <row r="56" spans="1:15" ht="12.75">
      <c r="A56">
        <v>78</v>
      </c>
      <c r="B56">
        <v>8.473218859707298</v>
      </c>
      <c r="C56">
        <v>0.098</v>
      </c>
      <c r="D56">
        <v>0.054</v>
      </c>
      <c r="E56">
        <v>-0.0008</v>
      </c>
      <c r="F56">
        <v>1987</v>
      </c>
      <c r="G56">
        <v>12</v>
      </c>
      <c r="H56">
        <v>1</v>
      </c>
      <c r="I56">
        <v>9.7</v>
      </c>
      <c r="J56">
        <v>19</v>
      </c>
      <c r="K56">
        <v>1</v>
      </c>
      <c r="L56">
        <v>1</v>
      </c>
      <c r="N56" t="s">
        <v>140</v>
      </c>
      <c r="O56" t="s">
        <v>186</v>
      </c>
    </row>
    <row r="57" spans="1:15" ht="12.75">
      <c r="A57">
        <v>78</v>
      </c>
      <c r="B57">
        <v>8.06310823350475</v>
      </c>
      <c r="C57">
        <v>0.115</v>
      </c>
      <c r="D57">
        <v>0.037</v>
      </c>
      <c r="E57">
        <v>-0.0005</v>
      </c>
      <c r="F57">
        <v>1987</v>
      </c>
      <c r="G57">
        <v>12</v>
      </c>
      <c r="H57">
        <v>2</v>
      </c>
      <c r="I57">
        <v>9.5</v>
      </c>
      <c r="J57">
        <v>18</v>
      </c>
      <c r="K57">
        <v>1</v>
      </c>
      <c r="L57">
        <v>1</v>
      </c>
      <c r="N57" t="s">
        <v>140</v>
      </c>
      <c r="O57" t="s">
        <v>186</v>
      </c>
    </row>
    <row r="58" spans="1:15" ht="12.75">
      <c r="A58">
        <v>80</v>
      </c>
      <c r="B58">
        <v>9.07158027799967</v>
      </c>
      <c r="C58">
        <v>0.105</v>
      </c>
      <c r="D58">
        <v>0.052</v>
      </c>
      <c r="E58">
        <v>-0.0008</v>
      </c>
      <c r="F58">
        <v>1983</v>
      </c>
      <c r="G58">
        <v>12</v>
      </c>
      <c r="H58">
        <v>1</v>
      </c>
      <c r="I58">
        <v>8.4</v>
      </c>
      <c r="J58">
        <v>19</v>
      </c>
      <c r="K58">
        <v>1</v>
      </c>
      <c r="L58">
        <v>1</v>
      </c>
      <c r="N58" t="s">
        <v>61</v>
      </c>
      <c r="O58" t="s">
        <v>186</v>
      </c>
    </row>
    <row r="59" spans="1:15" ht="12.75">
      <c r="A59">
        <v>80</v>
      </c>
      <c r="B59">
        <v>8.678678002848166</v>
      </c>
      <c r="C59">
        <v>0.117</v>
      </c>
      <c r="D59">
        <v>0.032</v>
      </c>
      <c r="E59">
        <v>-0.0004</v>
      </c>
      <c r="F59">
        <v>1983</v>
      </c>
      <c r="G59">
        <v>12</v>
      </c>
      <c r="H59">
        <v>2</v>
      </c>
      <c r="I59">
        <v>7.7</v>
      </c>
      <c r="J59">
        <v>18</v>
      </c>
      <c r="K59">
        <v>1</v>
      </c>
      <c r="L59">
        <v>1</v>
      </c>
      <c r="N59" t="s">
        <v>61</v>
      </c>
      <c r="O59" t="s">
        <v>186</v>
      </c>
    </row>
    <row r="60" spans="1:15" ht="12.75">
      <c r="A60">
        <v>80</v>
      </c>
      <c r="B60">
        <v>10.714935338731578</v>
      </c>
      <c r="C60">
        <v>0.103</v>
      </c>
      <c r="D60">
        <v>0.058</v>
      </c>
      <c r="E60">
        <v>-0.0009</v>
      </c>
      <c r="F60">
        <v>1990</v>
      </c>
      <c r="G60">
        <v>12</v>
      </c>
      <c r="H60">
        <v>1</v>
      </c>
      <c r="I60">
        <v>9.1</v>
      </c>
      <c r="J60">
        <v>20</v>
      </c>
      <c r="K60">
        <v>1</v>
      </c>
      <c r="L60">
        <v>1</v>
      </c>
      <c r="N60" t="s">
        <v>61</v>
      </c>
      <c r="O60" t="s">
        <v>186</v>
      </c>
    </row>
    <row r="61" spans="1:15" ht="12.75">
      <c r="A61">
        <v>80</v>
      </c>
      <c r="B61">
        <v>10.195344374035919</v>
      </c>
      <c r="C61">
        <v>0.121</v>
      </c>
      <c r="D61">
        <v>0.036</v>
      </c>
      <c r="E61">
        <v>-0.0003</v>
      </c>
      <c r="F61">
        <v>1990</v>
      </c>
      <c r="G61">
        <v>12</v>
      </c>
      <c r="H61">
        <v>2</v>
      </c>
      <c r="I61">
        <v>8.9</v>
      </c>
      <c r="J61">
        <v>18</v>
      </c>
      <c r="K61">
        <v>1</v>
      </c>
      <c r="L61">
        <v>1</v>
      </c>
      <c r="N61" t="s">
        <v>61</v>
      </c>
      <c r="O61" t="s">
        <v>186</v>
      </c>
    </row>
    <row r="62" spans="1:16" ht="12.75">
      <c r="A62">
        <v>81</v>
      </c>
      <c r="B62">
        <v>6.564799910235506</v>
      </c>
      <c r="C62">
        <v>0.173</v>
      </c>
      <c r="D62">
        <v>0.057</v>
      </c>
      <c r="E62">
        <v>-0.0007</v>
      </c>
      <c r="F62">
        <v>1985</v>
      </c>
      <c r="G62">
        <v>1</v>
      </c>
      <c r="H62">
        <v>1</v>
      </c>
      <c r="I62">
        <v>7.1</v>
      </c>
      <c r="J62">
        <v>24</v>
      </c>
      <c r="K62">
        <v>1</v>
      </c>
      <c r="L62">
        <v>0</v>
      </c>
      <c r="N62" t="s">
        <v>145</v>
      </c>
      <c r="O62" t="s">
        <v>186</v>
      </c>
      <c r="P62" t="s">
        <v>342</v>
      </c>
    </row>
    <row r="63" spans="1:15" ht="12.75">
      <c r="A63">
        <v>81</v>
      </c>
      <c r="B63">
        <v>5.990301652150521</v>
      </c>
      <c r="C63">
        <v>0.189</v>
      </c>
      <c r="D63">
        <v>0.06</v>
      </c>
      <c r="E63">
        <v>-0.0008</v>
      </c>
      <c r="F63">
        <v>1985</v>
      </c>
      <c r="G63">
        <v>1</v>
      </c>
      <c r="H63">
        <v>2</v>
      </c>
      <c r="I63">
        <v>6.1</v>
      </c>
      <c r="J63">
        <v>24</v>
      </c>
      <c r="K63">
        <v>1</v>
      </c>
      <c r="L63">
        <v>0</v>
      </c>
      <c r="N63" t="s">
        <v>145</v>
      </c>
      <c r="O63" t="s">
        <v>186</v>
      </c>
    </row>
    <row r="64" spans="1:16" ht="12.75">
      <c r="A64">
        <v>81</v>
      </c>
      <c r="B64">
        <v>7.205201747296341</v>
      </c>
      <c r="C64">
        <v>0.085</v>
      </c>
      <c r="D64">
        <v>0.053</v>
      </c>
      <c r="E64">
        <v>-0.0007</v>
      </c>
      <c r="F64">
        <v>1990</v>
      </c>
      <c r="G64">
        <v>12000</v>
      </c>
      <c r="H64">
        <v>1</v>
      </c>
      <c r="I64">
        <v>10.2</v>
      </c>
      <c r="J64">
        <v>19</v>
      </c>
      <c r="K64">
        <v>1</v>
      </c>
      <c r="L64">
        <v>1</v>
      </c>
      <c r="N64" t="s">
        <v>145</v>
      </c>
      <c r="O64" t="s">
        <v>186</v>
      </c>
      <c r="P64" s="7"/>
    </row>
    <row r="65" spans="1:15" ht="12.75">
      <c r="A65">
        <v>81</v>
      </c>
      <c r="B65">
        <v>7.103124832854359</v>
      </c>
      <c r="C65">
        <v>0.065</v>
      </c>
      <c r="D65">
        <v>0.053</v>
      </c>
      <c r="E65">
        <v>-0.0008</v>
      </c>
      <c r="F65">
        <v>1990</v>
      </c>
      <c r="G65">
        <v>12000</v>
      </c>
      <c r="H65">
        <v>2</v>
      </c>
      <c r="I65">
        <v>9.8</v>
      </c>
      <c r="J65">
        <v>18</v>
      </c>
      <c r="K65">
        <v>1</v>
      </c>
      <c r="L65">
        <v>1</v>
      </c>
      <c r="N65" t="s">
        <v>145</v>
      </c>
      <c r="O65" t="s">
        <v>186</v>
      </c>
    </row>
    <row r="66" spans="1:16" ht="12.75">
      <c r="A66">
        <v>83</v>
      </c>
      <c r="B66">
        <v>6.750498329437237</v>
      </c>
      <c r="C66">
        <v>0.091</v>
      </c>
      <c r="D66">
        <v>0.061</v>
      </c>
      <c r="E66">
        <v>-0.0009</v>
      </c>
      <c r="F66">
        <v>1981</v>
      </c>
      <c r="G66">
        <v>12</v>
      </c>
      <c r="H66">
        <v>1</v>
      </c>
      <c r="I66">
        <v>8.3</v>
      </c>
      <c r="J66">
        <v>24</v>
      </c>
      <c r="K66">
        <v>1</v>
      </c>
      <c r="L66">
        <v>1</v>
      </c>
      <c r="N66" t="s">
        <v>62</v>
      </c>
      <c r="O66" t="s">
        <v>186</v>
      </c>
      <c r="P66" t="s">
        <v>153</v>
      </c>
    </row>
    <row r="67" spans="1:15" ht="12.75">
      <c r="A67">
        <v>83</v>
      </c>
      <c r="B67">
        <v>6.092061697203766</v>
      </c>
      <c r="C67">
        <v>0.119</v>
      </c>
      <c r="D67">
        <v>0.038</v>
      </c>
      <c r="E67">
        <v>-0.0005</v>
      </c>
      <c r="F67">
        <v>1981</v>
      </c>
      <c r="G67">
        <v>12</v>
      </c>
      <c r="H67">
        <v>2</v>
      </c>
      <c r="I67">
        <v>8.7</v>
      </c>
      <c r="J67">
        <v>22</v>
      </c>
      <c r="K67">
        <v>1</v>
      </c>
      <c r="L67">
        <v>1</v>
      </c>
      <c r="N67" t="s">
        <v>62</v>
      </c>
      <c r="O67" t="s">
        <v>186</v>
      </c>
    </row>
    <row r="68" spans="1:15" ht="12.75">
      <c r="A68">
        <v>83</v>
      </c>
      <c r="B68">
        <v>10.348524897673933</v>
      </c>
      <c r="C68">
        <v>0.09</v>
      </c>
      <c r="D68">
        <v>0.051</v>
      </c>
      <c r="E68">
        <v>-0.0007</v>
      </c>
      <c r="F68">
        <v>1989</v>
      </c>
      <c r="G68">
        <v>12</v>
      </c>
      <c r="H68">
        <v>1</v>
      </c>
      <c r="I68">
        <v>8.7</v>
      </c>
      <c r="J68">
        <v>24</v>
      </c>
      <c r="K68">
        <v>1</v>
      </c>
      <c r="L68">
        <v>1</v>
      </c>
      <c r="N68" t="s">
        <v>62</v>
      </c>
      <c r="O68" t="s">
        <v>186</v>
      </c>
    </row>
    <row r="69" spans="1:15" ht="12.75">
      <c r="A69">
        <v>83</v>
      </c>
      <c r="B69">
        <v>9.72052988215211</v>
      </c>
      <c r="C69">
        <v>0.106</v>
      </c>
      <c r="D69">
        <v>0.042</v>
      </c>
      <c r="E69">
        <v>-0.0006</v>
      </c>
      <c r="F69">
        <v>1989</v>
      </c>
      <c r="G69">
        <v>12</v>
      </c>
      <c r="H69">
        <v>2</v>
      </c>
      <c r="I69">
        <v>9.3</v>
      </c>
      <c r="J69">
        <v>22</v>
      </c>
      <c r="K69">
        <v>1</v>
      </c>
      <c r="L69">
        <v>1</v>
      </c>
      <c r="N69" t="s">
        <v>62</v>
      </c>
      <c r="O69" t="s">
        <v>186</v>
      </c>
    </row>
    <row r="70" spans="1:16" ht="12.75">
      <c r="A70">
        <v>83</v>
      </c>
      <c r="B70">
        <v>3.451317240554167</v>
      </c>
      <c r="C70">
        <v>0.091</v>
      </c>
      <c r="D70">
        <v>0.056</v>
      </c>
      <c r="E70">
        <v>-0.0007</v>
      </c>
      <c r="F70">
        <v>1989</v>
      </c>
      <c r="G70">
        <v>12000</v>
      </c>
      <c r="H70">
        <v>1</v>
      </c>
      <c r="I70">
        <v>8.3</v>
      </c>
      <c r="J70">
        <v>20</v>
      </c>
      <c r="K70">
        <v>1</v>
      </c>
      <c r="L70">
        <v>0</v>
      </c>
      <c r="N70" t="s">
        <v>62</v>
      </c>
      <c r="O70" t="s">
        <v>186</v>
      </c>
      <c r="P70" t="s">
        <v>72</v>
      </c>
    </row>
    <row r="71" spans="1:16" ht="12.75">
      <c r="A71">
        <v>83</v>
      </c>
      <c r="B71">
        <v>3.1893499582508698</v>
      </c>
      <c r="C71">
        <v>0.102</v>
      </c>
      <c r="D71">
        <v>0.041</v>
      </c>
      <c r="E71">
        <v>-0.0006</v>
      </c>
      <c r="F71">
        <v>1989</v>
      </c>
      <c r="G71">
        <v>12000</v>
      </c>
      <c r="H71">
        <v>2</v>
      </c>
      <c r="I71">
        <v>9.2</v>
      </c>
      <c r="J71">
        <v>20</v>
      </c>
      <c r="K71">
        <v>1</v>
      </c>
      <c r="L71">
        <v>0</v>
      </c>
      <c r="N71" t="s">
        <v>62</v>
      </c>
      <c r="O71" t="s">
        <v>186</v>
      </c>
      <c r="P71" s="29" t="s">
        <v>149</v>
      </c>
    </row>
    <row r="72" spans="1:15" ht="12.75">
      <c r="A72">
        <v>84</v>
      </c>
      <c r="B72">
        <v>6.193104594926078</v>
      </c>
      <c r="C72">
        <v>0.112</v>
      </c>
      <c r="D72">
        <v>0.06</v>
      </c>
      <c r="E72">
        <v>-0.0008</v>
      </c>
      <c r="F72">
        <v>1981</v>
      </c>
      <c r="G72">
        <v>12</v>
      </c>
      <c r="H72">
        <v>1</v>
      </c>
      <c r="I72">
        <v>7.1</v>
      </c>
      <c r="J72">
        <v>22</v>
      </c>
      <c r="K72">
        <v>1</v>
      </c>
      <c r="L72">
        <v>1</v>
      </c>
      <c r="N72" t="s">
        <v>147</v>
      </c>
      <c r="O72" t="s">
        <v>186</v>
      </c>
    </row>
    <row r="73" spans="1:15" ht="12.75">
      <c r="A73">
        <v>84</v>
      </c>
      <c r="B73">
        <v>5.7231519514715234</v>
      </c>
      <c r="C73">
        <v>0.14</v>
      </c>
      <c r="D73">
        <v>0.042</v>
      </c>
      <c r="E73">
        <v>-0.0005</v>
      </c>
      <c r="F73">
        <v>1981</v>
      </c>
      <c r="G73">
        <v>12</v>
      </c>
      <c r="H73">
        <v>2</v>
      </c>
      <c r="I73">
        <v>7.8</v>
      </c>
      <c r="J73">
        <v>19</v>
      </c>
      <c r="K73">
        <v>1</v>
      </c>
      <c r="L73">
        <v>1</v>
      </c>
      <c r="N73" t="s">
        <v>147</v>
      </c>
      <c r="O73" t="s">
        <v>186</v>
      </c>
    </row>
    <row r="74" spans="1:15" ht="12.75">
      <c r="A74">
        <v>84</v>
      </c>
      <c r="B74">
        <v>7.574451660841401</v>
      </c>
      <c r="C74">
        <v>0.084</v>
      </c>
      <c r="D74">
        <v>0.031</v>
      </c>
      <c r="E74">
        <v>-0.0003</v>
      </c>
      <c r="F74">
        <v>1989</v>
      </c>
      <c r="G74">
        <v>12</v>
      </c>
      <c r="H74">
        <v>1</v>
      </c>
      <c r="I74">
        <v>7.9</v>
      </c>
      <c r="J74">
        <v>25</v>
      </c>
      <c r="K74">
        <v>1</v>
      </c>
      <c r="L74">
        <v>1</v>
      </c>
      <c r="N74" t="s">
        <v>147</v>
      </c>
      <c r="O74" t="s">
        <v>186</v>
      </c>
    </row>
    <row r="75" spans="1:15" ht="12.75">
      <c r="A75">
        <v>84</v>
      </c>
      <c r="B75">
        <v>7.538638549259396</v>
      </c>
      <c r="C75">
        <v>0.08</v>
      </c>
      <c r="D75">
        <v>0.019</v>
      </c>
      <c r="E75">
        <v>-0.0003</v>
      </c>
      <c r="F75">
        <v>1989</v>
      </c>
      <c r="G75">
        <v>12</v>
      </c>
      <c r="H75">
        <v>2</v>
      </c>
      <c r="I75">
        <v>10.2</v>
      </c>
      <c r="J75">
        <v>21</v>
      </c>
      <c r="K75">
        <v>1</v>
      </c>
      <c r="L75">
        <v>1</v>
      </c>
      <c r="N75" t="s">
        <v>147</v>
      </c>
      <c r="O75" t="s">
        <v>186</v>
      </c>
    </row>
    <row r="76" spans="1:16" ht="12.75">
      <c r="A76">
        <v>88</v>
      </c>
      <c r="B76">
        <v>3.45</v>
      </c>
      <c r="C76">
        <v>0.045</v>
      </c>
      <c r="D76">
        <v>0.019</v>
      </c>
      <c r="E76">
        <v>0</v>
      </c>
      <c r="F76">
        <v>1985</v>
      </c>
      <c r="G76">
        <v>12</v>
      </c>
      <c r="H76">
        <v>1</v>
      </c>
      <c r="I76">
        <v>8.7</v>
      </c>
      <c r="J76">
        <v>24.3</v>
      </c>
      <c r="K76" s="3">
        <v>1</v>
      </c>
      <c r="L76">
        <v>1</v>
      </c>
      <c r="N76" s="3" t="s">
        <v>45</v>
      </c>
      <c r="O76" s="3" t="s">
        <v>47</v>
      </c>
      <c r="P76" s="3"/>
    </row>
    <row r="77" spans="1:16" ht="12.75">
      <c r="A77">
        <v>88</v>
      </c>
      <c r="B77">
        <v>3.45</v>
      </c>
      <c r="C77">
        <v>0.056</v>
      </c>
      <c r="D77">
        <v>0.004</v>
      </c>
      <c r="E77">
        <v>0</v>
      </c>
      <c r="F77">
        <v>1985</v>
      </c>
      <c r="G77">
        <v>12</v>
      </c>
      <c r="H77">
        <v>2</v>
      </c>
      <c r="I77">
        <v>8.3</v>
      </c>
      <c r="J77">
        <v>19.7</v>
      </c>
      <c r="K77" s="3">
        <v>1</v>
      </c>
      <c r="L77">
        <v>1</v>
      </c>
      <c r="N77" s="3" t="s">
        <v>45</v>
      </c>
      <c r="O77" s="3" t="s">
        <v>47</v>
      </c>
      <c r="P77" s="3"/>
    </row>
    <row r="78" spans="1:16" ht="12.75">
      <c r="A78">
        <v>90</v>
      </c>
      <c r="B78">
        <v>7.0339</v>
      </c>
      <c r="C78">
        <v>0.062</v>
      </c>
      <c r="D78">
        <v>0.041</v>
      </c>
      <c r="E78">
        <v>-0.0005</v>
      </c>
      <c r="F78">
        <v>1980</v>
      </c>
      <c r="G78">
        <v>1</v>
      </c>
      <c r="H78">
        <v>1</v>
      </c>
      <c r="I78">
        <v>16.8</v>
      </c>
      <c r="J78">
        <v>20</v>
      </c>
      <c r="K78">
        <v>0</v>
      </c>
      <c r="L78">
        <v>0</v>
      </c>
      <c r="N78" t="s">
        <v>42</v>
      </c>
      <c r="O78" t="s">
        <v>44</v>
      </c>
      <c r="P78" t="s">
        <v>273</v>
      </c>
    </row>
    <row r="79" spans="1:16" ht="12.75">
      <c r="A79">
        <v>90</v>
      </c>
      <c r="B79">
        <v>7.0339</v>
      </c>
      <c r="C79">
        <v>0.062</v>
      </c>
      <c r="D79">
        <v>0.041</v>
      </c>
      <c r="E79">
        <v>-0.0005</v>
      </c>
      <c r="F79">
        <v>1980</v>
      </c>
      <c r="G79">
        <v>1</v>
      </c>
      <c r="H79">
        <v>2</v>
      </c>
      <c r="I79">
        <v>16.8</v>
      </c>
      <c r="J79">
        <v>20</v>
      </c>
      <c r="K79">
        <v>0</v>
      </c>
      <c r="L79">
        <v>0</v>
      </c>
      <c r="N79" t="s">
        <v>42</v>
      </c>
      <c r="O79" t="str">
        <f>O78</f>
        <v>Rao/Datta (1989)</v>
      </c>
      <c r="P79" t="s">
        <v>273</v>
      </c>
    </row>
    <row r="80" spans="1:16" ht="12.75">
      <c r="A80">
        <v>92</v>
      </c>
      <c r="B80" s="29">
        <v>1</v>
      </c>
      <c r="C80" s="70">
        <v>0.114</v>
      </c>
      <c r="D80" s="12">
        <v>0.08</v>
      </c>
      <c r="E80" s="55">
        <v>-0.00137</v>
      </c>
      <c r="F80">
        <v>1982</v>
      </c>
      <c r="G80">
        <v>2000</v>
      </c>
      <c r="H80">
        <v>1</v>
      </c>
      <c r="I80" s="16">
        <v>8</v>
      </c>
      <c r="J80" s="15">
        <v>20</v>
      </c>
      <c r="K80">
        <v>1</v>
      </c>
      <c r="L80">
        <v>1</v>
      </c>
      <c r="N80" t="s">
        <v>351</v>
      </c>
      <c r="O80" t="s">
        <v>59</v>
      </c>
      <c r="P80" t="s">
        <v>60</v>
      </c>
    </row>
    <row r="81" spans="1:15" ht="12.75">
      <c r="A81">
        <v>92</v>
      </c>
      <c r="B81" s="29">
        <v>1</v>
      </c>
      <c r="C81" s="70">
        <v>0.102</v>
      </c>
      <c r="D81" s="12">
        <v>0.041</v>
      </c>
      <c r="E81" s="55">
        <v>-0.00103</v>
      </c>
      <c r="F81">
        <v>1982</v>
      </c>
      <c r="G81">
        <v>2000</v>
      </c>
      <c r="H81">
        <v>2</v>
      </c>
      <c r="I81" s="16">
        <v>8</v>
      </c>
      <c r="J81" s="15">
        <v>20</v>
      </c>
      <c r="K81">
        <v>1</v>
      </c>
      <c r="L81">
        <v>1</v>
      </c>
      <c r="N81" t="s">
        <v>351</v>
      </c>
      <c r="O81" t="s">
        <v>59</v>
      </c>
    </row>
    <row r="82" spans="1:15" ht="12.75">
      <c r="A82">
        <v>92</v>
      </c>
      <c r="B82" s="29">
        <v>1</v>
      </c>
      <c r="C82" s="70">
        <v>0.0971</v>
      </c>
      <c r="D82" s="12">
        <v>0.076</v>
      </c>
      <c r="E82" s="55">
        <v>-0.00131</v>
      </c>
      <c r="F82">
        <v>1988</v>
      </c>
      <c r="G82">
        <v>2000</v>
      </c>
      <c r="H82">
        <v>1</v>
      </c>
      <c r="I82" s="16">
        <v>8</v>
      </c>
      <c r="J82" s="15">
        <v>20</v>
      </c>
      <c r="K82" s="100">
        <v>1</v>
      </c>
      <c r="L82" s="100">
        <v>1</v>
      </c>
      <c r="N82" t="s">
        <v>351</v>
      </c>
      <c r="O82" t="s">
        <v>59</v>
      </c>
    </row>
    <row r="83" spans="1:15" ht="12.75">
      <c r="A83">
        <v>92</v>
      </c>
      <c r="B83" s="29">
        <v>1</v>
      </c>
      <c r="C83" s="70">
        <v>0.065</v>
      </c>
      <c r="D83" s="12">
        <v>0.036</v>
      </c>
      <c r="E83" s="55">
        <v>-0.00086</v>
      </c>
      <c r="F83">
        <v>1988</v>
      </c>
      <c r="G83">
        <v>2000</v>
      </c>
      <c r="H83">
        <v>2</v>
      </c>
      <c r="I83" s="16">
        <v>8</v>
      </c>
      <c r="J83" s="15">
        <v>20</v>
      </c>
      <c r="K83" s="100">
        <v>1</v>
      </c>
      <c r="L83" s="100">
        <v>1</v>
      </c>
      <c r="N83" t="s">
        <v>351</v>
      </c>
      <c r="O83" t="s">
        <v>59</v>
      </c>
    </row>
    <row r="84" spans="1:16" ht="12.75">
      <c r="A84">
        <v>94</v>
      </c>
      <c r="B84">
        <v>9.27</v>
      </c>
      <c r="C84">
        <v>0.0775</v>
      </c>
      <c r="D84">
        <v>0.0227</v>
      </c>
      <c r="E84">
        <v>-0.000297</v>
      </c>
      <c r="F84">
        <v>1983</v>
      </c>
      <c r="G84">
        <v>12</v>
      </c>
      <c r="H84">
        <v>1</v>
      </c>
      <c r="I84">
        <v>11.333333333333332</v>
      </c>
      <c r="J84">
        <v>20</v>
      </c>
      <c r="K84">
        <v>1</v>
      </c>
      <c r="L84">
        <v>0</v>
      </c>
      <c r="N84" t="s">
        <v>11</v>
      </c>
      <c r="O84" t="s">
        <v>130</v>
      </c>
      <c r="P84" t="s">
        <v>274</v>
      </c>
    </row>
    <row r="85" spans="1:15" ht="12.75">
      <c r="A85">
        <v>94</v>
      </c>
      <c r="B85">
        <v>9.004</v>
      </c>
      <c r="C85">
        <v>0.064</v>
      </c>
      <c r="D85">
        <v>0.034</v>
      </c>
      <c r="E85">
        <v>-0.000534</v>
      </c>
      <c r="F85">
        <v>1979</v>
      </c>
      <c r="G85">
        <v>1</v>
      </c>
      <c r="H85">
        <v>1</v>
      </c>
      <c r="I85">
        <v>11.16</v>
      </c>
      <c r="J85">
        <v>23.38</v>
      </c>
      <c r="K85">
        <v>1</v>
      </c>
      <c r="L85">
        <v>1</v>
      </c>
      <c r="N85" t="s">
        <v>11</v>
      </c>
      <c r="O85" t="s">
        <v>102</v>
      </c>
    </row>
    <row r="86" spans="1:15" ht="12.75">
      <c r="A86">
        <v>94</v>
      </c>
      <c r="B86">
        <v>1.2112</v>
      </c>
      <c r="C86">
        <v>0.0728</v>
      </c>
      <c r="D86">
        <v>0.0451</v>
      </c>
      <c r="E86">
        <v>-0.0007</v>
      </c>
      <c r="F86">
        <v>1991</v>
      </c>
      <c r="G86">
        <v>2467.021276595745</v>
      </c>
      <c r="H86">
        <v>1</v>
      </c>
      <c r="I86">
        <v>12.58</v>
      </c>
      <c r="J86">
        <v>17.39</v>
      </c>
      <c r="K86">
        <v>1</v>
      </c>
      <c r="L86">
        <v>1</v>
      </c>
      <c r="N86" t="s">
        <v>11</v>
      </c>
      <c r="O86" t="s">
        <v>190</v>
      </c>
    </row>
    <row r="87" spans="1:16" ht="12.75">
      <c r="A87">
        <v>95</v>
      </c>
      <c r="B87">
        <v>4.833</v>
      </c>
      <c r="C87">
        <v>0.0646</v>
      </c>
      <c r="D87">
        <v>0.007</v>
      </c>
      <c r="E87">
        <v>0</v>
      </c>
      <c r="F87">
        <v>1975</v>
      </c>
      <c r="G87">
        <v>2000</v>
      </c>
      <c r="H87">
        <v>2</v>
      </c>
      <c r="I87">
        <v>11.1</v>
      </c>
      <c r="J87">
        <v>21.54</v>
      </c>
      <c r="K87">
        <v>1</v>
      </c>
      <c r="L87">
        <v>1</v>
      </c>
      <c r="N87" t="s">
        <v>48</v>
      </c>
      <c r="O87" t="s">
        <v>50</v>
      </c>
      <c r="P87" t="s">
        <v>281</v>
      </c>
    </row>
    <row r="88" spans="1:16" ht="12.75">
      <c r="A88">
        <v>97</v>
      </c>
      <c r="B88">
        <v>1</v>
      </c>
      <c r="C88">
        <v>0.114</v>
      </c>
      <c r="D88">
        <v>0.08</v>
      </c>
      <c r="E88">
        <v>-0.00137</v>
      </c>
      <c r="F88">
        <v>1982</v>
      </c>
      <c r="G88">
        <v>1</v>
      </c>
      <c r="H88">
        <v>1</v>
      </c>
      <c r="I88">
        <v>8</v>
      </c>
      <c r="J88">
        <v>20</v>
      </c>
      <c r="K88">
        <v>1</v>
      </c>
      <c r="L88">
        <v>1</v>
      </c>
      <c r="N88" s="7" t="s">
        <v>58</v>
      </c>
      <c r="O88" t="s">
        <v>59</v>
      </c>
      <c r="P88" t="s">
        <v>60</v>
      </c>
    </row>
    <row r="89" spans="1:15" ht="12.75">
      <c r="A89">
        <v>97</v>
      </c>
      <c r="B89">
        <v>1</v>
      </c>
      <c r="C89">
        <v>0.102</v>
      </c>
      <c r="D89">
        <v>0.041</v>
      </c>
      <c r="E89">
        <v>-0.00103</v>
      </c>
      <c r="F89">
        <v>1982</v>
      </c>
      <c r="G89">
        <v>1</v>
      </c>
      <c r="H89">
        <v>2</v>
      </c>
      <c r="I89">
        <v>8</v>
      </c>
      <c r="J89">
        <v>20</v>
      </c>
      <c r="K89">
        <v>1</v>
      </c>
      <c r="L89">
        <v>1</v>
      </c>
      <c r="N89" s="7" t="s">
        <v>58</v>
      </c>
      <c r="O89" t="s">
        <v>59</v>
      </c>
    </row>
    <row r="90" spans="1:15" ht="12.75">
      <c r="A90">
        <v>97</v>
      </c>
      <c r="B90">
        <v>1</v>
      </c>
      <c r="C90">
        <v>0.0971</v>
      </c>
      <c r="D90">
        <v>0.076</v>
      </c>
      <c r="E90">
        <v>-0.00131</v>
      </c>
      <c r="F90">
        <v>1988</v>
      </c>
      <c r="G90">
        <v>1</v>
      </c>
      <c r="H90">
        <v>1</v>
      </c>
      <c r="I90">
        <v>8</v>
      </c>
      <c r="J90">
        <v>20</v>
      </c>
      <c r="K90">
        <v>1</v>
      </c>
      <c r="L90">
        <v>1</v>
      </c>
      <c r="N90" s="7" t="s">
        <v>58</v>
      </c>
      <c r="O90" t="s">
        <v>59</v>
      </c>
    </row>
    <row r="91" spans="1:15" ht="12.75">
      <c r="A91">
        <v>97</v>
      </c>
      <c r="B91">
        <v>1</v>
      </c>
      <c r="C91">
        <v>0.065</v>
      </c>
      <c r="D91">
        <v>0.036</v>
      </c>
      <c r="E91">
        <v>-0.00086</v>
      </c>
      <c r="F91">
        <v>1988</v>
      </c>
      <c r="G91">
        <v>1</v>
      </c>
      <c r="H91">
        <v>2</v>
      </c>
      <c r="I91">
        <v>8</v>
      </c>
      <c r="J91">
        <v>20</v>
      </c>
      <c r="K91">
        <v>1</v>
      </c>
      <c r="L91">
        <v>1</v>
      </c>
      <c r="N91" s="7" t="s">
        <v>58</v>
      </c>
      <c r="O91" t="s">
        <v>59</v>
      </c>
    </row>
    <row r="92" spans="1:16" ht="12.75">
      <c r="A92">
        <v>100</v>
      </c>
      <c r="B92">
        <v>5.12</v>
      </c>
      <c r="C92">
        <v>0.0528</v>
      </c>
      <c r="D92">
        <v>0.00919</v>
      </c>
      <c r="E92">
        <v>-3.03E-05</v>
      </c>
      <c r="F92">
        <v>1979</v>
      </c>
      <c r="G92">
        <v>12</v>
      </c>
      <c r="H92">
        <v>1</v>
      </c>
      <c r="I92">
        <v>16.09</v>
      </c>
      <c r="J92">
        <v>20</v>
      </c>
      <c r="K92">
        <v>1</v>
      </c>
      <c r="L92">
        <v>0</v>
      </c>
      <c r="N92" t="s">
        <v>16</v>
      </c>
      <c r="O92" t="s">
        <v>39</v>
      </c>
      <c r="P92" t="s">
        <v>276</v>
      </c>
    </row>
    <row r="93" spans="1:16" ht="12.75">
      <c r="A93">
        <v>100</v>
      </c>
      <c r="B93">
        <v>4.35</v>
      </c>
      <c r="C93">
        <v>0.0815</v>
      </c>
      <c r="D93">
        <v>0.0116</v>
      </c>
      <c r="E93">
        <v>-5.5E-05</v>
      </c>
      <c r="F93">
        <v>1979</v>
      </c>
      <c r="G93">
        <v>12</v>
      </c>
      <c r="H93">
        <v>2</v>
      </c>
      <c r="I93">
        <v>15.49</v>
      </c>
      <c r="J93">
        <v>20</v>
      </c>
      <c r="K93">
        <v>1</v>
      </c>
      <c r="L93">
        <v>0</v>
      </c>
      <c r="N93" t="s">
        <v>16</v>
      </c>
      <c r="O93" t="s">
        <v>39</v>
      </c>
      <c r="P93" t="s">
        <v>276</v>
      </c>
    </row>
    <row r="94" spans="1:16" ht="12.75">
      <c r="A94">
        <v>100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12</v>
      </c>
      <c r="J94">
        <v>20</v>
      </c>
      <c r="K94">
        <v>1</v>
      </c>
      <c r="L94">
        <v>0</v>
      </c>
      <c r="N94" t="s">
        <v>16</v>
      </c>
      <c r="O94" t="s">
        <v>17</v>
      </c>
      <c r="P94" t="s">
        <v>18</v>
      </c>
    </row>
    <row r="95" spans="1:15" ht="12.75">
      <c r="A95">
        <v>105</v>
      </c>
      <c r="B95">
        <v>4.98</v>
      </c>
      <c r="C95">
        <v>0.08</v>
      </c>
      <c r="D95">
        <v>0.06</v>
      </c>
      <c r="E95">
        <v>-0.001</v>
      </c>
      <c r="F95">
        <v>1979</v>
      </c>
      <c r="G95">
        <v>12</v>
      </c>
      <c r="H95">
        <v>1</v>
      </c>
      <c r="I95">
        <v>4.47</v>
      </c>
      <c r="J95">
        <v>23.12</v>
      </c>
      <c r="K95">
        <v>1</v>
      </c>
      <c r="L95">
        <v>1</v>
      </c>
      <c r="N95" t="s">
        <v>113</v>
      </c>
      <c r="O95" t="s">
        <v>179</v>
      </c>
    </row>
    <row r="96" spans="1:16" ht="12.75">
      <c r="A96">
        <v>105</v>
      </c>
      <c r="B96">
        <v>4.872</v>
      </c>
      <c r="C96">
        <v>0.097</v>
      </c>
      <c r="D96">
        <v>0.1056</v>
      </c>
      <c r="E96">
        <v>-0.0006</v>
      </c>
      <c r="F96">
        <v>1979</v>
      </c>
      <c r="G96">
        <v>12</v>
      </c>
      <c r="H96">
        <v>1</v>
      </c>
      <c r="I96">
        <v>8.59</v>
      </c>
      <c r="J96">
        <v>20</v>
      </c>
      <c r="K96">
        <v>1</v>
      </c>
      <c r="L96">
        <v>0</v>
      </c>
      <c r="N96" t="s">
        <v>113</v>
      </c>
      <c r="O96" t="s">
        <v>115</v>
      </c>
      <c r="P96" t="s">
        <v>277</v>
      </c>
    </row>
    <row r="97" spans="1:15" ht="12.75">
      <c r="A97">
        <v>106</v>
      </c>
      <c r="B97">
        <v>8.043</v>
      </c>
      <c r="C97">
        <v>0.119</v>
      </c>
      <c r="D97">
        <v>0.023</v>
      </c>
      <c r="E97">
        <v>-0.0006</v>
      </c>
      <c r="F97">
        <v>1988</v>
      </c>
      <c r="G97">
        <v>1</v>
      </c>
      <c r="H97">
        <v>1</v>
      </c>
      <c r="I97">
        <v>9</v>
      </c>
      <c r="J97">
        <v>20</v>
      </c>
      <c r="K97">
        <v>1</v>
      </c>
      <c r="L97">
        <v>1</v>
      </c>
      <c r="N97" t="s">
        <v>23</v>
      </c>
      <c r="O97" t="s">
        <v>24</v>
      </c>
    </row>
    <row r="98" spans="1:15" ht="12.75">
      <c r="A98">
        <v>106</v>
      </c>
      <c r="B98">
        <v>8.043</v>
      </c>
      <c r="C98">
        <v>0.119</v>
      </c>
      <c r="D98">
        <v>0.023</v>
      </c>
      <c r="E98">
        <v>-0.0006</v>
      </c>
      <c r="F98">
        <v>1988</v>
      </c>
      <c r="G98">
        <v>1</v>
      </c>
      <c r="H98">
        <v>2</v>
      </c>
      <c r="I98">
        <v>9</v>
      </c>
      <c r="J98">
        <v>20</v>
      </c>
      <c r="K98">
        <v>1</v>
      </c>
      <c r="L98">
        <v>1</v>
      </c>
      <c r="N98" t="s">
        <v>23</v>
      </c>
      <c r="O98" t="str">
        <f>O97</f>
        <v>Hossai/Psacharopoulos (1994)</v>
      </c>
    </row>
    <row r="99" spans="1:15" ht="12.75">
      <c r="A99">
        <v>109</v>
      </c>
      <c r="B99">
        <v>-0.543</v>
      </c>
      <c r="C99">
        <v>0.113</v>
      </c>
      <c r="D99">
        <v>0.062</v>
      </c>
      <c r="E99">
        <v>-0.001</v>
      </c>
      <c r="F99">
        <v>1974</v>
      </c>
      <c r="G99">
        <v>2000</v>
      </c>
      <c r="H99">
        <v>1</v>
      </c>
      <c r="I99">
        <v>7.543</v>
      </c>
      <c r="J99">
        <v>12.651</v>
      </c>
      <c r="K99">
        <v>1</v>
      </c>
      <c r="L99">
        <v>1</v>
      </c>
      <c r="N99" t="s">
        <v>173</v>
      </c>
      <c r="O99" t="s">
        <v>174</v>
      </c>
    </row>
    <row r="100" spans="1:15" ht="12.75">
      <c r="A100">
        <v>113</v>
      </c>
      <c r="B100">
        <v>7.56</v>
      </c>
      <c r="C100">
        <v>0.104</v>
      </c>
      <c r="D100">
        <v>0.071</v>
      </c>
      <c r="E100">
        <v>-0.00082</v>
      </c>
      <c r="F100">
        <v>1971</v>
      </c>
      <c r="G100">
        <v>1</v>
      </c>
      <c r="H100">
        <v>1</v>
      </c>
      <c r="I100">
        <v>6.84</v>
      </c>
      <c r="J100">
        <v>20</v>
      </c>
      <c r="K100">
        <v>1</v>
      </c>
      <c r="L100">
        <v>1</v>
      </c>
      <c r="N100" t="s">
        <v>13</v>
      </c>
      <c r="O100" t="s">
        <v>15</v>
      </c>
    </row>
    <row r="101" spans="1:15" ht="12.75">
      <c r="A101">
        <v>113</v>
      </c>
      <c r="B101">
        <v>7.14</v>
      </c>
      <c r="C101">
        <v>0.145</v>
      </c>
      <c r="D101">
        <v>0.043</v>
      </c>
      <c r="E101">
        <v>-0.0004</v>
      </c>
      <c r="F101">
        <v>1971</v>
      </c>
      <c r="G101">
        <v>1</v>
      </c>
      <c r="H101">
        <v>2</v>
      </c>
      <c r="I101">
        <v>6.36</v>
      </c>
      <c r="J101">
        <v>20</v>
      </c>
      <c r="K101">
        <v>1</v>
      </c>
      <c r="L101">
        <v>1</v>
      </c>
      <c r="N101" t="s">
        <v>13</v>
      </c>
      <c r="O101" t="s">
        <v>15</v>
      </c>
    </row>
    <row r="102" spans="1:16" ht="12.75">
      <c r="A102">
        <v>116</v>
      </c>
      <c r="B102">
        <v>8.433</v>
      </c>
      <c r="C102">
        <v>0.054</v>
      </c>
      <c r="D102">
        <v>0.051</v>
      </c>
      <c r="E102">
        <v>-0.008463</v>
      </c>
      <c r="F102">
        <v>1987</v>
      </c>
      <c r="G102">
        <v>12</v>
      </c>
      <c r="H102">
        <v>1</v>
      </c>
      <c r="I102">
        <v>9.72</v>
      </c>
      <c r="J102">
        <v>18.84</v>
      </c>
      <c r="K102" s="3">
        <v>1</v>
      </c>
      <c r="L102">
        <v>1</v>
      </c>
      <c r="N102" s="3" t="s">
        <v>93</v>
      </c>
      <c r="O102" t="s">
        <v>105</v>
      </c>
      <c r="P102" s="15" t="s">
        <v>110</v>
      </c>
    </row>
    <row r="103" spans="1:15" ht="12.75">
      <c r="A103">
        <v>121</v>
      </c>
      <c r="B103">
        <v>4.054</v>
      </c>
      <c r="C103">
        <v>0.047</v>
      </c>
      <c r="D103">
        <v>0.033</v>
      </c>
      <c r="E103">
        <v>-0.00057</v>
      </c>
      <c r="F103">
        <v>1989</v>
      </c>
      <c r="G103">
        <v>2000</v>
      </c>
      <c r="H103">
        <v>1</v>
      </c>
      <c r="I103">
        <v>12.38</v>
      </c>
      <c r="J103">
        <v>19.98</v>
      </c>
      <c r="K103">
        <v>1</v>
      </c>
      <c r="L103">
        <v>1</v>
      </c>
      <c r="N103" t="s">
        <v>175</v>
      </c>
      <c r="O103" t="s">
        <v>177</v>
      </c>
    </row>
    <row r="104" spans="1:15" ht="12.75">
      <c r="A104">
        <v>121</v>
      </c>
      <c r="B104">
        <v>4.064</v>
      </c>
      <c r="C104">
        <v>0.035</v>
      </c>
      <c r="D104">
        <v>0.026</v>
      </c>
      <c r="E104">
        <v>-0.00045</v>
      </c>
      <c r="F104">
        <v>1989</v>
      </c>
      <c r="G104">
        <v>2000</v>
      </c>
      <c r="H104">
        <v>2</v>
      </c>
      <c r="I104">
        <v>11.54</v>
      </c>
      <c r="J104">
        <v>18.07</v>
      </c>
      <c r="K104">
        <v>1</v>
      </c>
      <c r="L104">
        <v>1</v>
      </c>
      <c r="N104" t="s">
        <v>175</v>
      </c>
      <c r="O104" t="s">
        <v>177</v>
      </c>
    </row>
    <row r="105" spans="1:15" ht="12.75">
      <c r="A105">
        <v>125</v>
      </c>
      <c r="B105">
        <v>9.399</v>
      </c>
      <c r="C105">
        <v>0.07</v>
      </c>
      <c r="D105">
        <v>0.031</v>
      </c>
      <c r="E105">
        <v>-0.000607</v>
      </c>
      <c r="F105">
        <v>1981</v>
      </c>
      <c r="G105">
        <v>1</v>
      </c>
      <c r="H105">
        <v>1</v>
      </c>
      <c r="I105">
        <v>11.15</v>
      </c>
      <c r="J105">
        <v>24.32</v>
      </c>
      <c r="K105">
        <v>1</v>
      </c>
      <c r="L105">
        <v>1</v>
      </c>
      <c r="N105" t="s">
        <v>34</v>
      </c>
      <c r="O105" t="s">
        <v>102</v>
      </c>
    </row>
    <row r="106" spans="1:15" ht="12.75">
      <c r="A106">
        <v>125</v>
      </c>
      <c r="B106">
        <v>6.767</v>
      </c>
      <c r="C106">
        <v>0.075</v>
      </c>
      <c r="D106">
        <v>0.049</v>
      </c>
      <c r="E106">
        <v>-0.00083</v>
      </c>
      <c r="F106">
        <v>1988</v>
      </c>
      <c r="G106">
        <v>12</v>
      </c>
      <c r="H106">
        <v>1</v>
      </c>
      <c r="I106">
        <v>11.15</v>
      </c>
      <c r="J106">
        <v>20.69</v>
      </c>
      <c r="K106">
        <v>1</v>
      </c>
      <c r="L106">
        <v>1</v>
      </c>
      <c r="N106" t="s">
        <v>34</v>
      </c>
      <c r="O106" t="s">
        <v>36</v>
      </c>
    </row>
    <row r="107" spans="1:15" ht="12.75">
      <c r="A107">
        <v>125</v>
      </c>
      <c r="B107">
        <v>6.523</v>
      </c>
      <c r="C107">
        <v>0.082</v>
      </c>
      <c r="D107">
        <v>0.042</v>
      </c>
      <c r="E107">
        <v>-0.00075</v>
      </c>
      <c r="F107">
        <v>1988</v>
      </c>
      <c r="G107">
        <v>12</v>
      </c>
      <c r="H107">
        <v>2</v>
      </c>
      <c r="I107">
        <v>11.15</v>
      </c>
      <c r="J107">
        <v>20.69</v>
      </c>
      <c r="K107">
        <v>1</v>
      </c>
      <c r="L107">
        <v>1</v>
      </c>
      <c r="N107" t="s">
        <v>34</v>
      </c>
      <c r="O107" t="s">
        <v>36</v>
      </c>
    </row>
    <row r="108" spans="1:15" ht="12.75">
      <c r="A108">
        <v>126</v>
      </c>
      <c r="B108">
        <v>10.787</v>
      </c>
      <c r="C108">
        <v>0.058</v>
      </c>
      <c r="D108">
        <v>0.059</v>
      </c>
      <c r="E108">
        <v>-0.001</v>
      </c>
      <c r="F108">
        <v>1977</v>
      </c>
      <c r="G108">
        <v>1</v>
      </c>
      <c r="H108">
        <v>1</v>
      </c>
      <c r="I108">
        <v>10</v>
      </c>
      <c r="J108">
        <v>20</v>
      </c>
      <c r="K108">
        <v>1</v>
      </c>
      <c r="L108">
        <v>1</v>
      </c>
      <c r="N108" t="s">
        <v>37</v>
      </c>
      <c r="O108" t="s">
        <v>57</v>
      </c>
    </row>
    <row r="109" spans="1:16" ht="12.75">
      <c r="A109">
        <v>127</v>
      </c>
      <c r="B109">
        <v>7.973</v>
      </c>
      <c r="C109">
        <v>0.0434</v>
      </c>
      <c r="D109">
        <v>0.0377</v>
      </c>
      <c r="E109">
        <v>-0.000661</v>
      </c>
      <c r="F109">
        <v>1987</v>
      </c>
      <c r="G109">
        <v>12</v>
      </c>
      <c r="H109">
        <v>1</v>
      </c>
      <c r="I109">
        <v>11.31</v>
      </c>
      <c r="J109">
        <v>21.53</v>
      </c>
      <c r="K109">
        <v>1</v>
      </c>
      <c r="L109">
        <v>0</v>
      </c>
      <c r="N109" t="s">
        <v>99</v>
      </c>
      <c r="O109" t="s">
        <v>105</v>
      </c>
      <c r="P109" t="s">
        <v>341</v>
      </c>
    </row>
    <row r="110" spans="1:15" ht="12.75">
      <c r="A110">
        <v>127</v>
      </c>
      <c r="B110">
        <v>8.924</v>
      </c>
      <c r="C110">
        <v>0.064</v>
      </c>
      <c r="D110">
        <v>0.021</v>
      </c>
      <c r="E110">
        <v>-0.00033</v>
      </c>
      <c r="F110">
        <v>1995</v>
      </c>
      <c r="G110">
        <v>12</v>
      </c>
      <c r="H110">
        <v>1</v>
      </c>
      <c r="I110">
        <v>10.86</v>
      </c>
      <c r="J110">
        <v>25.6</v>
      </c>
      <c r="K110">
        <v>1</v>
      </c>
      <c r="L110">
        <v>1</v>
      </c>
      <c r="N110" t="s">
        <v>99</v>
      </c>
      <c r="O110" t="s">
        <v>340</v>
      </c>
    </row>
    <row r="111" spans="1:15" ht="12.75">
      <c r="A111">
        <v>127</v>
      </c>
      <c r="B111">
        <v>8.748</v>
      </c>
      <c r="C111">
        <v>0.062</v>
      </c>
      <c r="D111">
        <v>0.021</v>
      </c>
      <c r="E111">
        <v>-0.00037</v>
      </c>
      <c r="F111">
        <v>1995</v>
      </c>
      <c r="G111">
        <v>12</v>
      </c>
      <c r="H111">
        <v>2</v>
      </c>
      <c r="I111">
        <v>11.03</v>
      </c>
      <c r="J111">
        <v>25.5</v>
      </c>
      <c r="K111">
        <v>1</v>
      </c>
      <c r="L111">
        <v>1</v>
      </c>
      <c r="N111" t="s">
        <v>99</v>
      </c>
      <c r="O111" t="s">
        <v>340</v>
      </c>
    </row>
    <row r="112" spans="1:15" ht="12.75">
      <c r="A112">
        <v>129</v>
      </c>
      <c r="B112">
        <v>-0.7429999999999999</v>
      </c>
      <c r="C112">
        <v>0.074</v>
      </c>
      <c r="D112">
        <v>0.0759</v>
      </c>
      <c r="E112">
        <v>-0.0007840000000000001</v>
      </c>
      <c r="F112">
        <v>1987</v>
      </c>
      <c r="G112">
        <v>2000</v>
      </c>
      <c r="H112">
        <v>1</v>
      </c>
      <c r="I112">
        <v>11.6</v>
      </c>
      <c r="J112">
        <v>19.9</v>
      </c>
      <c r="K112">
        <v>1</v>
      </c>
      <c r="L112">
        <v>1</v>
      </c>
      <c r="N112" t="s">
        <v>284</v>
      </c>
      <c r="O112" t="s">
        <v>285</v>
      </c>
    </row>
    <row r="113" spans="1:16" ht="12.75">
      <c r="A113">
        <v>130</v>
      </c>
      <c r="B113">
        <v>12.809</v>
      </c>
      <c r="C113">
        <v>0.0228</v>
      </c>
      <c r="D113">
        <v>-0.0055</v>
      </c>
      <c r="E113">
        <v>-6.1E-05</v>
      </c>
      <c r="F113">
        <v>1987</v>
      </c>
      <c r="G113">
        <v>12</v>
      </c>
      <c r="H113">
        <v>1</v>
      </c>
      <c r="I113">
        <v>10.72</v>
      </c>
      <c r="J113">
        <v>14.43</v>
      </c>
      <c r="K113">
        <v>1</v>
      </c>
      <c r="L113">
        <v>0</v>
      </c>
      <c r="N113" t="s">
        <v>87</v>
      </c>
      <c r="O113" t="s">
        <v>105</v>
      </c>
      <c r="P113" s="15" t="s">
        <v>275</v>
      </c>
    </row>
    <row r="114" spans="1:16" ht="12.75">
      <c r="A114">
        <v>130</v>
      </c>
      <c r="B114" s="29">
        <v>1</v>
      </c>
      <c r="C114">
        <v>0.062</v>
      </c>
      <c r="D114">
        <v>0.041</v>
      </c>
      <c r="E114">
        <v>-0.0005</v>
      </c>
      <c r="F114">
        <v>1995</v>
      </c>
      <c r="G114">
        <v>2000</v>
      </c>
      <c r="H114">
        <v>1</v>
      </c>
      <c r="I114">
        <v>11.1</v>
      </c>
      <c r="J114">
        <v>20.27</v>
      </c>
      <c r="K114">
        <v>1</v>
      </c>
      <c r="L114">
        <v>1</v>
      </c>
      <c r="N114" t="s">
        <v>87</v>
      </c>
      <c r="O114" t="s">
        <v>306</v>
      </c>
      <c r="P114" t="s">
        <v>60</v>
      </c>
    </row>
    <row r="115" spans="1:15" ht="12.75">
      <c r="A115">
        <v>130</v>
      </c>
      <c r="B115" s="29">
        <v>1</v>
      </c>
      <c r="C115">
        <v>0.077</v>
      </c>
      <c r="D115">
        <v>0.036</v>
      </c>
      <c r="E115">
        <v>-0.0004</v>
      </c>
      <c r="F115">
        <v>1995</v>
      </c>
      <c r="G115">
        <v>2000</v>
      </c>
      <c r="H115">
        <v>2</v>
      </c>
      <c r="I115">
        <v>10.7</v>
      </c>
      <c r="J115">
        <v>22.91</v>
      </c>
      <c r="K115">
        <v>1</v>
      </c>
      <c r="L115">
        <v>1</v>
      </c>
      <c r="N115" t="s">
        <v>87</v>
      </c>
      <c r="O115" t="s">
        <v>306</v>
      </c>
    </row>
    <row r="116" spans="1:15" ht="12.75">
      <c r="A116">
        <v>133</v>
      </c>
      <c r="B116">
        <v>9.378</v>
      </c>
      <c r="C116">
        <v>0.074</v>
      </c>
      <c r="D116">
        <v>0.045</v>
      </c>
      <c r="E116">
        <v>-0.000667</v>
      </c>
      <c r="F116">
        <v>1983</v>
      </c>
      <c r="G116">
        <v>1</v>
      </c>
      <c r="H116">
        <v>1</v>
      </c>
      <c r="I116">
        <v>9.48</v>
      </c>
      <c r="J116">
        <v>23.155</v>
      </c>
      <c r="K116">
        <v>1</v>
      </c>
      <c r="L116">
        <v>1</v>
      </c>
      <c r="N116" t="s">
        <v>103</v>
      </c>
      <c r="O116" t="s">
        <v>102</v>
      </c>
    </row>
    <row r="117" spans="1:16" ht="12.75">
      <c r="A117">
        <v>134</v>
      </c>
      <c r="B117">
        <v>8.8874</v>
      </c>
      <c r="C117">
        <v>0.0383</v>
      </c>
      <c r="D117">
        <v>0.1066</v>
      </c>
      <c r="E117">
        <v>-0.0012</v>
      </c>
      <c r="F117">
        <v>1979</v>
      </c>
      <c r="G117">
        <v>1</v>
      </c>
      <c r="H117">
        <v>1</v>
      </c>
      <c r="I117">
        <v>11.8</v>
      </c>
      <c r="J117">
        <v>43.2</v>
      </c>
      <c r="K117">
        <v>1</v>
      </c>
      <c r="L117">
        <v>1</v>
      </c>
      <c r="N117" s="3" t="s">
        <v>187</v>
      </c>
      <c r="O117" t="s">
        <v>188</v>
      </c>
      <c r="P117" t="s">
        <v>189</v>
      </c>
    </row>
    <row r="118" spans="1:16" ht="12.75">
      <c r="A118">
        <v>134</v>
      </c>
      <c r="B118">
        <v>9.7156</v>
      </c>
      <c r="C118">
        <v>0.0689</v>
      </c>
      <c r="D118">
        <v>0.0413</v>
      </c>
      <c r="E118">
        <v>-0.0004</v>
      </c>
      <c r="F118">
        <v>1989</v>
      </c>
      <c r="G118">
        <v>1</v>
      </c>
      <c r="H118">
        <v>1</v>
      </c>
      <c r="I118">
        <v>11.8</v>
      </c>
      <c r="J118">
        <v>43.2</v>
      </c>
      <c r="K118">
        <v>1</v>
      </c>
      <c r="L118">
        <v>1</v>
      </c>
      <c r="N118" s="3" t="str">
        <f>N117</f>
        <v>Norway</v>
      </c>
      <c r="O118" t="str">
        <f>O117</f>
        <v>Hayfron (1998)</v>
      </c>
      <c r="P118" s="29" t="s">
        <v>305</v>
      </c>
    </row>
    <row r="119" spans="1:15" ht="12.75">
      <c r="A119">
        <v>135</v>
      </c>
      <c r="B119">
        <v>12.017</v>
      </c>
      <c r="C119">
        <v>0.0287</v>
      </c>
      <c r="D119">
        <v>0.0285</v>
      </c>
      <c r="E119">
        <v>-0.000502</v>
      </c>
      <c r="F119">
        <v>1986</v>
      </c>
      <c r="G119">
        <v>1</v>
      </c>
      <c r="H119">
        <v>1</v>
      </c>
      <c r="I119">
        <v>11.1</v>
      </c>
      <c r="J119">
        <v>21.85</v>
      </c>
      <c r="K119">
        <v>1</v>
      </c>
      <c r="L119">
        <v>1</v>
      </c>
      <c r="N119" t="s">
        <v>104</v>
      </c>
      <c r="O119" t="s">
        <v>102</v>
      </c>
    </row>
    <row r="120" spans="1:15" ht="12.75">
      <c r="A120">
        <v>136</v>
      </c>
      <c r="B120">
        <v>7.833</v>
      </c>
      <c r="C120">
        <v>0.081</v>
      </c>
      <c r="D120">
        <v>0.06</v>
      </c>
      <c r="E120">
        <v>-0.0008</v>
      </c>
      <c r="F120">
        <v>1977</v>
      </c>
      <c r="G120">
        <v>12</v>
      </c>
      <c r="H120">
        <v>1</v>
      </c>
      <c r="I120">
        <v>4.7</v>
      </c>
      <c r="J120">
        <v>26.1</v>
      </c>
      <c r="K120">
        <v>1</v>
      </c>
      <c r="L120">
        <v>1</v>
      </c>
      <c r="N120" t="s">
        <v>125</v>
      </c>
      <c r="O120" t="s">
        <v>280</v>
      </c>
    </row>
    <row r="121" spans="1:15" ht="12.75">
      <c r="A121">
        <v>138</v>
      </c>
      <c r="B121">
        <v>12.394599999999999</v>
      </c>
      <c r="C121">
        <v>0.0931</v>
      </c>
      <c r="D121">
        <v>0.0558</v>
      </c>
      <c r="E121">
        <v>-0.0008</v>
      </c>
      <c r="F121">
        <v>1990</v>
      </c>
      <c r="G121">
        <v>1</v>
      </c>
      <c r="H121">
        <v>1</v>
      </c>
      <c r="I121">
        <v>7.99</v>
      </c>
      <c r="J121">
        <v>23.34</v>
      </c>
      <c r="K121">
        <v>1</v>
      </c>
      <c r="L121">
        <v>1</v>
      </c>
      <c r="N121" t="s">
        <v>126</v>
      </c>
      <c r="O121" t="s">
        <v>183</v>
      </c>
    </row>
    <row r="122" spans="1:15" ht="12.75">
      <c r="A122">
        <v>138</v>
      </c>
      <c r="B122">
        <v>11.6688</v>
      </c>
      <c r="C122">
        <v>0.1179</v>
      </c>
      <c r="D122">
        <v>0.0625</v>
      </c>
      <c r="E122">
        <v>-0.0009</v>
      </c>
      <c r="F122">
        <v>1990</v>
      </c>
      <c r="G122">
        <v>1</v>
      </c>
      <c r="H122">
        <v>2</v>
      </c>
      <c r="I122">
        <v>8.64</v>
      </c>
      <c r="J122">
        <v>17.39</v>
      </c>
      <c r="K122">
        <v>1</v>
      </c>
      <c r="L122">
        <v>1</v>
      </c>
      <c r="N122" t="s">
        <v>126</v>
      </c>
      <c r="O122" t="str">
        <f>O121</f>
        <v>Lassibille (1998)</v>
      </c>
    </row>
    <row r="123" spans="1:15" ht="12.75">
      <c r="A123">
        <v>140</v>
      </c>
      <c r="B123">
        <v>6.443</v>
      </c>
      <c r="C123">
        <v>0.0789</v>
      </c>
      <c r="D123">
        <v>0.0625</v>
      </c>
      <c r="E123">
        <v>-0.000782</v>
      </c>
      <c r="F123">
        <v>1987</v>
      </c>
      <c r="G123">
        <v>12</v>
      </c>
      <c r="H123">
        <v>1</v>
      </c>
      <c r="I123">
        <v>11.02</v>
      </c>
      <c r="J123">
        <v>23.41</v>
      </c>
      <c r="K123">
        <v>1</v>
      </c>
      <c r="L123">
        <v>1</v>
      </c>
      <c r="N123" t="s">
        <v>97</v>
      </c>
      <c r="O123" t="s">
        <v>105</v>
      </c>
    </row>
    <row r="124" spans="1:15" ht="12.75">
      <c r="A124">
        <v>142</v>
      </c>
      <c r="B124">
        <v>7.827</v>
      </c>
      <c r="C124">
        <v>0.068</v>
      </c>
      <c r="D124">
        <v>0.055</v>
      </c>
      <c r="E124">
        <v>-0.001017</v>
      </c>
      <c r="F124">
        <v>1987</v>
      </c>
      <c r="G124">
        <v>1</v>
      </c>
      <c r="H124">
        <v>1</v>
      </c>
      <c r="I124">
        <v>11.83</v>
      </c>
      <c r="J124">
        <v>21.78</v>
      </c>
      <c r="K124">
        <v>1</v>
      </c>
      <c r="L124">
        <v>1</v>
      </c>
      <c r="N124" t="s">
        <v>91</v>
      </c>
      <c r="O124" t="s">
        <v>105</v>
      </c>
    </row>
    <row r="125" spans="1:16" ht="12.75">
      <c r="A125">
        <v>145</v>
      </c>
      <c r="B125">
        <v>8.508</v>
      </c>
      <c r="C125">
        <v>0.064</v>
      </c>
      <c r="D125">
        <v>0.034</v>
      </c>
      <c r="E125">
        <v>-0.00582</v>
      </c>
      <c r="F125">
        <v>1981</v>
      </c>
      <c r="G125">
        <v>12</v>
      </c>
      <c r="H125">
        <v>1</v>
      </c>
      <c r="I125">
        <v>12.5</v>
      </c>
      <c r="J125">
        <v>20.17</v>
      </c>
      <c r="K125" s="3">
        <v>1</v>
      </c>
      <c r="L125">
        <v>1</v>
      </c>
      <c r="N125" s="3" t="s">
        <v>95</v>
      </c>
      <c r="O125" t="s">
        <v>102</v>
      </c>
      <c r="P125" s="15" t="s">
        <v>275</v>
      </c>
    </row>
    <row r="126" spans="1:16" ht="12.75">
      <c r="A126">
        <v>145</v>
      </c>
      <c r="B126">
        <v>8.47</v>
      </c>
      <c r="C126">
        <v>0.106</v>
      </c>
      <c r="D126">
        <v>0.043</v>
      </c>
      <c r="E126">
        <v>-0.000565</v>
      </c>
      <c r="F126">
        <v>1987</v>
      </c>
      <c r="G126">
        <v>1</v>
      </c>
      <c r="H126">
        <v>1</v>
      </c>
      <c r="I126">
        <v>10.31</v>
      </c>
      <c r="J126">
        <v>20.17</v>
      </c>
      <c r="K126" s="3">
        <v>1</v>
      </c>
      <c r="L126">
        <v>1</v>
      </c>
      <c r="N126" s="3" t="s">
        <v>95</v>
      </c>
      <c r="O126" t="s">
        <v>105</v>
      </c>
      <c r="P126" s="3"/>
    </row>
    <row r="134" spans="2:5" ht="12.75">
      <c r="B134" s="29"/>
      <c r="C134" s="71"/>
      <c r="D134" s="12"/>
      <c r="E134" s="101"/>
    </row>
    <row r="148" spans="1:16" ht="18">
      <c r="A148" s="102" t="s">
        <v>354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5" ht="12.75">
      <c r="A149">
        <v>130</v>
      </c>
      <c r="B149" s="29">
        <v>1</v>
      </c>
      <c r="C149">
        <v>0.029</v>
      </c>
      <c r="D149">
        <v>0.082</v>
      </c>
      <c r="E149">
        <v>-0.0008</v>
      </c>
      <c r="F149">
        <v>1980</v>
      </c>
      <c r="G149">
        <v>2000</v>
      </c>
      <c r="H149">
        <v>1</v>
      </c>
      <c r="J149" s="32"/>
      <c r="K149" s="32">
        <v>1</v>
      </c>
      <c r="N149" t="s">
        <v>87</v>
      </c>
      <c r="O149" t="s">
        <v>306</v>
      </c>
    </row>
    <row r="150" spans="1:15" ht="12.75">
      <c r="A150">
        <v>130</v>
      </c>
      <c r="B150" s="29">
        <v>1</v>
      </c>
      <c r="C150">
        <v>0.045</v>
      </c>
      <c r="D150">
        <v>0.032</v>
      </c>
      <c r="E150">
        <v>-0.0003</v>
      </c>
      <c r="F150">
        <v>1980</v>
      </c>
      <c r="G150">
        <v>2000</v>
      </c>
      <c r="H150">
        <v>2</v>
      </c>
      <c r="J150" s="32"/>
      <c r="K150" s="32">
        <v>1</v>
      </c>
      <c r="N150" t="s">
        <v>87</v>
      </c>
      <c r="O150" t="s">
        <v>306</v>
      </c>
    </row>
    <row r="151" spans="1:16" ht="12.75">
      <c r="A151">
        <v>130</v>
      </c>
      <c r="B151" s="48">
        <v>-0.949</v>
      </c>
      <c r="C151" s="71">
        <v>0.074</v>
      </c>
      <c r="D151" s="12">
        <v>0.0759</v>
      </c>
      <c r="E151" s="101">
        <v>-0.000784</v>
      </c>
      <c r="F151">
        <v>1987</v>
      </c>
      <c r="G151">
        <v>2000</v>
      </c>
      <c r="H151">
        <v>1</v>
      </c>
      <c r="I151" s="16">
        <v>11.55</v>
      </c>
      <c r="J151">
        <v>20.5</v>
      </c>
      <c r="K151" s="100">
        <v>1</v>
      </c>
      <c r="L151" s="100">
        <v>0</v>
      </c>
      <c r="N151" t="s">
        <v>87</v>
      </c>
      <c r="O151" t="s">
        <v>352</v>
      </c>
      <c r="P151" t="s">
        <v>353</v>
      </c>
    </row>
    <row r="152" spans="1:16" ht="12.75">
      <c r="A152">
        <v>22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3.5</v>
      </c>
      <c r="J152">
        <v>20</v>
      </c>
      <c r="K152">
        <v>1</v>
      </c>
      <c r="L152">
        <v>0</v>
      </c>
      <c r="N152" t="s">
        <v>3</v>
      </c>
      <c r="O152" t="s">
        <v>19</v>
      </c>
      <c r="P152" t="s">
        <v>20</v>
      </c>
    </row>
    <row r="153" spans="1:16" ht="12.75">
      <c r="A153">
        <v>44</v>
      </c>
      <c r="B153">
        <v>1</v>
      </c>
      <c r="C153">
        <v>1</v>
      </c>
      <c r="D153">
        <v>1</v>
      </c>
      <c r="E153">
        <v>1</v>
      </c>
      <c r="F153">
        <v>1980</v>
      </c>
      <c r="G153">
        <v>1</v>
      </c>
      <c r="H153">
        <v>1</v>
      </c>
      <c r="I153">
        <v>1</v>
      </c>
      <c r="J153">
        <v>20</v>
      </c>
      <c r="K153">
        <v>1</v>
      </c>
      <c r="L153">
        <v>0</v>
      </c>
      <c r="N153" t="s">
        <v>4</v>
      </c>
      <c r="O153" t="s">
        <v>19</v>
      </c>
      <c r="P153" t="s">
        <v>20</v>
      </c>
    </row>
  </sheetData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31" sqref="C31"/>
    </sheetView>
  </sheetViews>
  <sheetFormatPr defaultColWidth="9.140625" defaultRowHeight="12.75"/>
  <sheetData>
    <row r="1" ht="18">
      <c r="A1" s="1" t="s">
        <v>298</v>
      </c>
    </row>
    <row r="3" ht="12.75">
      <c r="A3" t="s">
        <v>299</v>
      </c>
    </row>
    <row r="6" spans="1:10" ht="12.75">
      <c r="A6" s="95" t="s">
        <v>302</v>
      </c>
      <c r="B6" s="11"/>
      <c r="C6" s="11"/>
      <c r="D6" s="11"/>
      <c r="E6" s="11"/>
      <c r="F6" s="11"/>
      <c r="G6" s="11"/>
      <c r="H6" s="11"/>
      <c r="I6" s="11"/>
      <c r="J6" s="11"/>
    </row>
    <row r="8" ht="12.75">
      <c r="A8" t="s">
        <v>303</v>
      </c>
    </row>
    <row r="9" ht="12.75">
      <c r="A9" t="s">
        <v>304</v>
      </c>
    </row>
    <row r="16" spans="1:10" ht="12.75">
      <c r="A16" s="95" t="s">
        <v>300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3" ht="12.75">
      <c r="A17" t="s">
        <v>202</v>
      </c>
      <c r="C17" t="s">
        <v>203</v>
      </c>
    </row>
    <row r="18" spans="1:3" ht="12.75">
      <c r="A18" t="s">
        <v>296</v>
      </c>
      <c r="C18" t="s">
        <v>204</v>
      </c>
    </row>
    <row r="19" ht="12.75">
      <c r="C19" t="s">
        <v>205</v>
      </c>
    </row>
    <row r="20" spans="1:3" ht="12.75">
      <c r="A20" t="s">
        <v>12</v>
      </c>
      <c r="C20" t="s">
        <v>208</v>
      </c>
    </row>
    <row r="21" spans="1:3" ht="12.75">
      <c r="A21" t="s">
        <v>14</v>
      </c>
      <c r="C21" t="s">
        <v>210</v>
      </c>
    </row>
    <row r="22" spans="1:3" ht="12.75">
      <c r="A22" t="s">
        <v>184</v>
      </c>
      <c r="C22" t="s">
        <v>211</v>
      </c>
    </row>
    <row r="23" ht="12.75">
      <c r="C23" t="s">
        <v>212</v>
      </c>
    </row>
    <row r="24" spans="1:3" ht="12.75">
      <c r="A24" t="s">
        <v>237</v>
      </c>
      <c r="C24" t="s">
        <v>247</v>
      </c>
    </row>
    <row r="25" spans="1:6" ht="12.75">
      <c r="A25" t="s">
        <v>238</v>
      </c>
      <c r="B25" s="74"/>
      <c r="C25" s="74" t="s">
        <v>248</v>
      </c>
      <c r="D25" s="74"/>
      <c r="E25" s="74"/>
      <c r="F25" s="74"/>
    </row>
    <row r="26" spans="2:6" ht="12.75">
      <c r="B26" s="74"/>
      <c r="C26" s="74" t="s">
        <v>268</v>
      </c>
      <c r="D26" s="74"/>
      <c r="E26" s="74"/>
      <c r="F26" s="74"/>
    </row>
    <row r="27" spans="1:3" ht="12.75">
      <c r="A27" t="s">
        <v>111</v>
      </c>
      <c r="C27" t="s">
        <v>240</v>
      </c>
    </row>
    <row r="28" ht="12.75">
      <c r="C28" t="s">
        <v>241</v>
      </c>
    </row>
    <row r="29" ht="12.75">
      <c r="C29" t="s">
        <v>242</v>
      </c>
    </row>
    <row r="30" ht="12.75">
      <c r="C30" t="s">
        <v>343</v>
      </c>
    </row>
    <row r="31" spans="1:3" ht="12.75">
      <c r="A31" t="s">
        <v>158</v>
      </c>
      <c r="C31" t="s">
        <v>243</v>
      </c>
    </row>
    <row r="32" spans="1:6" ht="12.75">
      <c r="A32" t="s">
        <v>9</v>
      </c>
      <c r="B32" s="74"/>
      <c r="C32" s="74" t="s">
        <v>301</v>
      </c>
      <c r="D32" s="74"/>
      <c r="E32" s="74"/>
      <c r="F32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17"/>
  <sheetViews>
    <sheetView zoomScale="65" zoomScaleNormal="65" workbookViewId="0" topLeftCell="A3">
      <pane ySplit="1500" topLeftCell="BM78" activePane="bottomLeft" state="split"/>
      <selection pane="topLeft" activeCell="AI7" sqref="AI7"/>
      <selection pane="bottomLeft" activeCell="A83" sqref="A83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11.57421875" style="0" customWidth="1"/>
    <col min="4" max="4" width="11.7109375" style="0" customWidth="1"/>
    <col min="5" max="5" width="6.140625" style="0" customWidth="1"/>
    <col min="6" max="6" width="7.7109375" style="0" customWidth="1"/>
    <col min="7" max="7" width="3.00390625" style="0" customWidth="1"/>
    <col min="8" max="8" width="8.421875" style="0" customWidth="1"/>
    <col min="9" max="9" width="6.421875" style="0" customWidth="1"/>
    <col min="10" max="10" width="5.57421875" style="0" customWidth="1"/>
    <col min="11" max="11" width="7.57421875" style="0" customWidth="1"/>
    <col min="12" max="12" width="8.140625" style="0" customWidth="1"/>
    <col min="13" max="13" width="7.8515625" style="0" customWidth="1"/>
    <col min="14" max="14" width="9.28125" style="0" customWidth="1"/>
    <col min="15" max="15" width="8.421875" style="0" customWidth="1"/>
    <col min="16" max="16" width="7.8515625" style="0" customWidth="1"/>
    <col min="18" max="18" width="9.421875" style="0" customWidth="1"/>
    <col min="19" max="19" width="9.7109375" style="0" customWidth="1"/>
    <col min="22" max="23" width="7.7109375" style="0" customWidth="1"/>
    <col min="24" max="24" width="7.140625" style="0" customWidth="1"/>
    <col min="25" max="25" width="10.00390625" style="0" customWidth="1"/>
    <col min="26" max="27" width="6.00390625" style="0" customWidth="1"/>
    <col min="28" max="28" width="9.28125" style="0" customWidth="1"/>
    <col min="29" max="32" width="6.00390625" style="0" customWidth="1"/>
    <col min="33" max="33" width="3.7109375" style="0" customWidth="1"/>
    <col min="34" max="35" width="5.8515625" style="0" customWidth="1"/>
    <col min="36" max="36" width="6.28125" style="0" customWidth="1"/>
    <col min="37" max="37" width="6.8515625" style="0" customWidth="1"/>
    <col min="38" max="38" width="12.00390625" style="0" customWidth="1"/>
    <col min="39" max="39" width="12.8515625" style="0" customWidth="1"/>
    <col min="40" max="40" width="9.7109375" style="0" customWidth="1"/>
    <col min="41" max="41" width="8.00390625" style="0" customWidth="1"/>
    <col min="42" max="42" width="10.28125" style="0" customWidth="1"/>
    <col min="43" max="43" width="8.140625" style="0" customWidth="1"/>
    <col min="44" max="44" width="8.421875" style="0" bestFit="1" customWidth="1"/>
    <col min="45" max="45" width="33.7109375" style="0" bestFit="1" customWidth="1"/>
    <col min="46" max="46" width="17.8515625" style="0" customWidth="1"/>
  </cols>
  <sheetData>
    <row r="1" ht="12.75">
      <c r="A1" s="4" t="s">
        <v>197</v>
      </c>
    </row>
    <row r="2" spans="18:39" ht="12.75">
      <c r="R2" s="31"/>
      <c r="AM2">
        <v>20</v>
      </c>
    </row>
    <row r="3" spans="7:37" ht="12.75">
      <c r="G3" s="11"/>
      <c r="H3" s="11"/>
      <c r="I3" s="11"/>
      <c r="J3" s="11" t="s">
        <v>73</v>
      </c>
      <c r="K3" s="11"/>
      <c r="L3" s="11"/>
      <c r="M3" s="11"/>
      <c r="N3" s="11"/>
      <c r="O3" s="11"/>
      <c r="P3" s="84" t="s">
        <v>216</v>
      </c>
      <c r="Q3" s="85"/>
      <c r="R3" s="85"/>
      <c r="S3" s="85"/>
      <c r="T3" s="85"/>
      <c r="U3" s="8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  <c r="AI3" s="3"/>
      <c r="AJ3" s="3"/>
      <c r="AK3" s="3"/>
    </row>
    <row r="4" spans="7:46" ht="12.75">
      <c r="G4" s="11"/>
      <c r="H4" s="2" t="s">
        <v>64</v>
      </c>
      <c r="I4" s="2"/>
      <c r="J4" s="2"/>
      <c r="K4" s="49"/>
      <c r="L4" s="61" t="s">
        <v>184</v>
      </c>
      <c r="M4" s="2"/>
      <c r="N4" s="53"/>
      <c r="O4" s="2" t="s">
        <v>25</v>
      </c>
      <c r="P4" s="62"/>
      <c r="Q4" s="64"/>
      <c r="R4" s="64"/>
      <c r="S4" s="64" t="s">
        <v>150</v>
      </c>
      <c r="T4" s="64"/>
      <c r="U4" s="64"/>
      <c r="V4" s="62"/>
      <c r="W4" s="63"/>
      <c r="X4" s="2"/>
      <c r="Y4" s="2"/>
      <c r="Z4" s="2" t="s">
        <v>89</v>
      </c>
      <c r="AA4" s="2" t="s">
        <v>89</v>
      </c>
      <c r="AB4" s="2" t="s">
        <v>166</v>
      </c>
      <c r="AC4" s="2"/>
      <c r="AD4" s="2"/>
      <c r="AE4" s="2"/>
      <c r="AF4" s="2"/>
      <c r="AG4" s="11"/>
      <c r="AH4" s="2" t="s">
        <v>344</v>
      </c>
      <c r="AI4" s="2" t="s">
        <v>344</v>
      </c>
      <c r="AJ4" s="2" t="s">
        <v>344</v>
      </c>
      <c r="AK4" s="2" t="s">
        <v>344</v>
      </c>
      <c r="AL4" s="66" t="s">
        <v>5</v>
      </c>
      <c r="AM4" s="2" t="s">
        <v>70</v>
      </c>
      <c r="AN4" s="66" t="s">
        <v>71</v>
      </c>
      <c r="AO4" s="62" t="s">
        <v>109</v>
      </c>
      <c r="AP4" s="64"/>
      <c r="AQ4" s="64"/>
      <c r="AR4" s="63"/>
      <c r="AS4" s="66"/>
      <c r="AT4" s="66"/>
    </row>
    <row r="5" spans="1:46" ht="12.75">
      <c r="A5" s="2" t="s">
        <v>5</v>
      </c>
      <c r="B5" s="2" t="s">
        <v>165</v>
      </c>
      <c r="C5" s="2"/>
      <c r="D5" s="2" t="s">
        <v>32</v>
      </c>
      <c r="E5" s="2" t="s">
        <v>69</v>
      </c>
      <c r="F5" s="2" t="s">
        <v>66</v>
      </c>
      <c r="G5" s="11"/>
      <c r="H5" s="2" t="s">
        <v>5</v>
      </c>
      <c r="I5" s="34" t="s">
        <v>12</v>
      </c>
      <c r="J5" s="34" t="s">
        <v>14</v>
      </c>
      <c r="K5" s="50"/>
      <c r="L5" s="69"/>
      <c r="M5" s="34"/>
      <c r="N5" s="54"/>
      <c r="O5" s="2" t="s">
        <v>185</v>
      </c>
      <c r="P5" s="49" t="s">
        <v>40</v>
      </c>
      <c r="Q5" s="61" t="s">
        <v>30</v>
      </c>
      <c r="R5" s="61" t="s">
        <v>27</v>
      </c>
      <c r="S5" s="61" t="s">
        <v>26</v>
      </c>
      <c r="T5" s="61" t="s">
        <v>78</v>
      </c>
      <c r="U5" s="61" t="s">
        <v>76</v>
      </c>
      <c r="V5" s="49" t="s">
        <v>80</v>
      </c>
      <c r="W5" s="53"/>
      <c r="X5" s="2" t="s">
        <v>83</v>
      </c>
      <c r="Y5" s="2" t="s">
        <v>78</v>
      </c>
      <c r="Z5" s="2" t="s">
        <v>90</v>
      </c>
      <c r="AA5" s="2" t="s">
        <v>0</v>
      </c>
      <c r="AB5" s="2" t="s">
        <v>167</v>
      </c>
      <c r="AC5" s="2" t="s">
        <v>111</v>
      </c>
      <c r="AD5" s="2" t="s">
        <v>157</v>
      </c>
      <c r="AE5" s="2" t="s">
        <v>181</v>
      </c>
      <c r="AF5" s="2" t="s">
        <v>90</v>
      </c>
      <c r="AG5" s="11"/>
      <c r="AH5" s="2" t="s">
        <v>348</v>
      </c>
      <c r="AI5" s="2" t="s">
        <v>349</v>
      </c>
      <c r="AJ5" s="2" t="s">
        <v>345</v>
      </c>
      <c r="AK5" s="2" t="s">
        <v>347</v>
      </c>
      <c r="AL5" s="67"/>
      <c r="AM5" s="2" t="s">
        <v>1</v>
      </c>
      <c r="AN5" s="67" t="s">
        <v>178</v>
      </c>
      <c r="AO5" s="49" t="s">
        <v>264</v>
      </c>
      <c r="AP5" s="61" t="s">
        <v>258</v>
      </c>
      <c r="AQ5" s="61" t="s">
        <v>90</v>
      </c>
      <c r="AR5" s="53"/>
      <c r="AS5" s="67" t="s">
        <v>9</v>
      </c>
      <c r="AT5" s="67" t="s">
        <v>10</v>
      </c>
    </row>
    <row r="6" spans="1:46" ht="12.75">
      <c r="A6" s="2"/>
      <c r="B6" s="2" t="s">
        <v>164</v>
      </c>
      <c r="C6" s="2" t="s">
        <v>70</v>
      </c>
      <c r="D6" s="2"/>
      <c r="E6" s="2" t="s">
        <v>68</v>
      </c>
      <c r="F6" s="2"/>
      <c r="G6" s="11"/>
      <c r="H6" s="2"/>
      <c r="I6" s="34"/>
      <c r="J6" s="34"/>
      <c r="K6" s="50" t="s">
        <v>25</v>
      </c>
      <c r="L6" s="69" t="s">
        <v>6</v>
      </c>
      <c r="M6" s="34" t="s">
        <v>7</v>
      </c>
      <c r="N6" s="54" t="s">
        <v>8</v>
      </c>
      <c r="O6" s="2" t="s">
        <v>213</v>
      </c>
      <c r="P6" s="59" t="s">
        <v>41</v>
      </c>
      <c r="Q6" s="65" t="s">
        <v>31</v>
      </c>
      <c r="R6" s="65" t="s">
        <v>28</v>
      </c>
      <c r="S6" s="65" t="s">
        <v>29</v>
      </c>
      <c r="T6" s="65" t="s">
        <v>79</v>
      </c>
      <c r="U6" s="65" t="s">
        <v>77</v>
      </c>
      <c r="V6" s="59" t="s">
        <v>157</v>
      </c>
      <c r="W6" s="60" t="s">
        <v>156</v>
      </c>
      <c r="X6" s="2" t="s">
        <v>12</v>
      </c>
      <c r="Y6" s="2" t="s">
        <v>84</v>
      </c>
      <c r="Z6" s="2"/>
      <c r="AA6" s="2">
        <v>20</v>
      </c>
      <c r="AB6" s="2" t="s">
        <v>168</v>
      </c>
      <c r="AC6" s="2"/>
      <c r="AD6" s="2" t="s">
        <v>169</v>
      </c>
      <c r="AE6" s="2" t="s">
        <v>182</v>
      </c>
      <c r="AF6" s="2" t="s">
        <v>250</v>
      </c>
      <c r="AG6" s="11"/>
      <c r="AH6" s="2" t="s">
        <v>346</v>
      </c>
      <c r="AI6" s="2" t="s">
        <v>346</v>
      </c>
      <c r="AJ6" s="2" t="s">
        <v>346</v>
      </c>
      <c r="AK6" s="2" t="s">
        <v>346</v>
      </c>
      <c r="AL6" s="68"/>
      <c r="AM6" s="2" t="s">
        <v>116</v>
      </c>
      <c r="AN6" s="68" t="s">
        <v>116</v>
      </c>
      <c r="AO6" s="59" t="s">
        <v>265</v>
      </c>
      <c r="AP6" s="65"/>
      <c r="AQ6" s="65" t="s">
        <v>259</v>
      </c>
      <c r="AR6" s="60" t="s">
        <v>260</v>
      </c>
      <c r="AS6" s="68"/>
      <c r="AT6" s="68"/>
    </row>
    <row r="7" spans="1:46" ht="12.75">
      <c r="A7" s="3" t="s">
        <v>2</v>
      </c>
      <c r="B7" s="38"/>
      <c r="C7" s="38"/>
      <c r="D7" s="3" t="s">
        <v>117</v>
      </c>
      <c r="E7" s="3">
        <v>0</v>
      </c>
      <c r="F7" s="3">
        <v>1</v>
      </c>
      <c r="G7" s="11"/>
      <c r="H7" s="3">
        <v>1</v>
      </c>
      <c r="I7" s="3">
        <v>1989</v>
      </c>
      <c r="J7" s="3">
        <v>1</v>
      </c>
      <c r="K7" s="91">
        <v>8.1787</v>
      </c>
      <c r="L7">
        <v>0.1023</v>
      </c>
      <c r="M7">
        <v>0.0515</v>
      </c>
      <c r="N7" s="58">
        <v>-0.0008</v>
      </c>
      <c r="O7" s="10">
        <f aca="true" t="shared" si="0" ref="O7:O18">K7-LN(S7)+LN(F7)</f>
        <v>8.1787</v>
      </c>
      <c r="P7">
        <v>100</v>
      </c>
      <c r="Q7">
        <v>20964</v>
      </c>
      <c r="R7">
        <v>100</v>
      </c>
      <c r="S7">
        <v>1</v>
      </c>
      <c r="T7">
        <v>36859</v>
      </c>
      <c r="U7">
        <v>33567</v>
      </c>
      <c r="V7" s="20">
        <f aca="true" t="shared" si="1" ref="V7:V18">U7/T7</f>
        <v>0.9106866708266638</v>
      </c>
      <c r="W7" s="12">
        <v>2.4019248</v>
      </c>
      <c r="X7" s="3">
        <v>1990</v>
      </c>
      <c r="Y7">
        <v>36859</v>
      </c>
      <c r="Z7" s="32">
        <v>13.5</v>
      </c>
      <c r="AA7" s="32">
        <v>20.1</v>
      </c>
      <c r="AB7" s="41">
        <f>EXP(O7+L7*Z7+M7*AA7+N7*AA7^2)</f>
        <v>28902.749269256146</v>
      </c>
      <c r="AC7" s="3">
        <v>1</v>
      </c>
      <c r="AD7">
        <v>72</v>
      </c>
      <c r="AE7">
        <v>8.46</v>
      </c>
      <c r="AF7">
        <f>Z7</f>
        <v>13.5</v>
      </c>
      <c r="AG7" s="11"/>
      <c r="AH7" s="3"/>
      <c r="AI7" s="3"/>
      <c r="AJ7" s="3"/>
      <c r="AK7" s="16"/>
      <c r="AL7" s="3" t="s">
        <v>2</v>
      </c>
      <c r="AM7" s="46">
        <f>AB7</f>
        <v>28902.749269256146</v>
      </c>
      <c r="AN7" s="46">
        <f>Q7*R7/100</f>
        <v>20964</v>
      </c>
      <c r="AO7" s="14">
        <f>EXP(L7*12+20*M7+400*N7)</f>
        <v>6.942069993487191</v>
      </c>
      <c r="AP7" s="14">
        <f>EXP(M7*25+N7*25^2)/EXP(M7*5+N7*25)</f>
        <v>1.7332530178673946</v>
      </c>
      <c r="AQ7" s="14">
        <f>EXP(L7*4)</f>
        <v>1.5056128129378985</v>
      </c>
      <c r="AR7" s="14">
        <f>EXP(L7*8)</f>
        <v>2.266869942482771</v>
      </c>
      <c r="AS7" s="3" t="s">
        <v>180</v>
      </c>
      <c r="AT7" s="3"/>
    </row>
    <row r="8" spans="1:46" ht="12.75">
      <c r="A8" s="3" t="s">
        <v>2</v>
      </c>
      <c r="B8" s="38"/>
      <c r="C8" s="38"/>
      <c r="D8" s="3" t="s">
        <v>117</v>
      </c>
      <c r="E8" s="3">
        <v>0</v>
      </c>
      <c r="F8" s="3">
        <v>1</v>
      </c>
      <c r="G8" s="11"/>
      <c r="H8" s="3">
        <v>1</v>
      </c>
      <c r="I8" s="3">
        <v>1989</v>
      </c>
      <c r="J8" s="3">
        <v>2</v>
      </c>
      <c r="K8" s="91">
        <v>7.9222</v>
      </c>
      <c r="L8">
        <v>0.1126</v>
      </c>
      <c r="M8">
        <v>0.0279</v>
      </c>
      <c r="N8" s="58">
        <v>-0.0005</v>
      </c>
      <c r="O8" s="10">
        <f t="shared" si="0"/>
        <v>7.9222</v>
      </c>
      <c r="P8">
        <v>100</v>
      </c>
      <c r="Q8">
        <v>20964</v>
      </c>
      <c r="R8">
        <v>100</v>
      </c>
      <c r="S8">
        <v>1</v>
      </c>
      <c r="T8">
        <v>36859</v>
      </c>
      <c r="U8">
        <v>33567</v>
      </c>
      <c r="V8" s="20">
        <f t="shared" si="1"/>
        <v>0.9106866708266638</v>
      </c>
      <c r="W8" s="12">
        <v>2.4019248</v>
      </c>
      <c r="X8" s="3">
        <v>1990</v>
      </c>
      <c r="Y8">
        <v>36859</v>
      </c>
      <c r="Z8" s="32">
        <v>13.6</v>
      </c>
      <c r="AA8" s="32">
        <v>19</v>
      </c>
      <c r="AB8" s="41">
        <f aca="true" t="shared" si="2" ref="AB8:AB70">EXP(O8+L8*Z8+M8*AA8+N8*AA8^2)</f>
        <v>18090.821695598053</v>
      </c>
      <c r="AC8" s="3">
        <v>1</v>
      </c>
      <c r="AD8">
        <v>72</v>
      </c>
      <c r="AE8">
        <v>8.46</v>
      </c>
      <c r="AF8">
        <f>Z8</f>
        <v>13.6</v>
      </c>
      <c r="AG8" s="11"/>
      <c r="AH8" s="3"/>
      <c r="AI8" s="3"/>
      <c r="AJ8" s="3"/>
      <c r="AK8" s="16"/>
      <c r="AL8" s="3" t="s">
        <v>2</v>
      </c>
      <c r="AM8" s="46">
        <f aca="true" t="shared" si="3" ref="AM8:AM69">AB8</f>
        <v>18090.821695598053</v>
      </c>
      <c r="AN8" s="46">
        <f aca="true" t="shared" si="4" ref="AN8:AN69">Q8*R8/100</f>
        <v>20964</v>
      </c>
      <c r="AO8" s="14">
        <f aca="true" t="shared" si="5" ref="AO8:AO69">EXP(L8*12+20*M8+400*N8)</f>
        <v>5.524540077237868</v>
      </c>
      <c r="AP8" s="14">
        <f aca="true" t="shared" si="6" ref="AP8:AP69">EXP(M8*25+N8*25^2)/EXP(M8*5+N8*25)</f>
        <v>1.2943388186242377</v>
      </c>
      <c r="AQ8" s="14">
        <f aca="true" t="shared" si="7" ref="AQ8:AQ69">EXP(L8*4)</f>
        <v>1.56893963584607</v>
      </c>
      <c r="AR8" s="14">
        <f aca="true" t="shared" si="8" ref="AR8:AR69">EXP(L8*8)</f>
        <v>2.461571580928799</v>
      </c>
      <c r="AS8" s="3" t="s">
        <v>180</v>
      </c>
      <c r="AT8" s="3"/>
    </row>
    <row r="9" spans="1:46" ht="12.75">
      <c r="A9" s="3" t="s">
        <v>2</v>
      </c>
      <c r="B9" s="38"/>
      <c r="C9" s="38"/>
      <c r="D9" s="3" t="s">
        <v>117</v>
      </c>
      <c r="E9" s="3">
        <v>0</v>
      </c>
      <c r="F9" s="3">
        <v>1</v>
      </c>
      <c r="G9" s="11"/>
      <c r="H9" s="3">
        <v>1</v>
      </c>
      <c r="I9" s="3">
        <v>1979</v>
      </c>
      <c r="J9" s="3">
        <v>1</v>
      </c>
      <c r="K9" s="91">
        <v>8.0775</v>
      </c>
      <c r="L9">
        <v>0.078</v>
      </c>
      <c r="M9">
        <v>0.0493</v>
      </c>
      <c r="N9" s="58">
        <v>-0.0007</v>
      </c>
      <c r="O9" s="10">
        <f t="shared" si="0"/>
        <v>8.0775</v>
      </c>
      <c r="P9" s="3">
        <v>100</v>
      </c>
      <c r="Q9">
        <v>11045</v>
      </c>
      <c r="R9" s="3">
        <v>100</v>
      </c>
      <c r="S9" s="3">
        <v>1</v>
      </c>
      <c r="T9">
        <v>32796</v>
      </c>
      <c r="U9">
        <v>27068</v>
      </c>
      <c r="V9" s="20">
        <f t="shared" si="1"/>
        <v>0.8253445542139285</v>
      </c>
      <c r="W9" s="12">
        <v>2.4019248</v>
      </c>
      <c r="X9" s="13">
        <v>1980</v>
      </c>
      <c r="Y9">
        <v>32796</v>
      </c>
      <c r="Z9" s="32">
        <v>13</v>
      </c>
      <c r="AA9" s="32">
        <v>20.1</v>
      </c>
      <c r="AB9" s="41">
        <f t="shared" si="2"/>
        <v>18026.94748738876</v>
      </c>
      <c r="AC9" s="3">
        <v>1</v>
      </c>
      <c r="AD9">
        <v>72</v>
      </c>
      <c r="AE9">
        <v>8.46</v>
      </c>
      <c r="AF9">
        <f>Z9</f>
        <v>13</v>
      </c>
      <c r="AG9" s="11"/>
      <c r="AH9" s="3"/>
      <c r="AI9" s="3"/>
      <c r="AJ9" s="3"/>
      <c r="AK9" s="16"/>
      <c r="AL9" s="3" t="s">
        <v>2</v>
      </c>
      <c r="AM9" s="46">
        <f t="shared" si="3"/>
        <v>18026.94748738876</v>
      </c>
      <c r="AN9" s="46">
        <f t="shared" si="4"/>
        <v>11045</v>
      </c>
      <c r="AO9" s="14">
        <f t="shared" si="5"/>
        <v>5.165490168475172</v>
      </c>
      <c r="AP9" s="14">
        <f t="shared" si="6"/>
        <v>1.7612081105217428</v>
      </c>
      <c r="AQ9" s="14">
        <f t="shared" si="7"/>
        <v>1.36615469302948</v>
      </c>
      <c r="AR9" s="14">
        <f t="shared" si="8"/>
        <v>1.8663786452864723</v>
      </c>
      <c r="AS9" s="3" t="s">
        <v>180</v>
      </c>
      <c r="AT9" s="3"/>
    </row>
    <row r="10" spans="1:46" ht="12.75">
      <c r="A10" s="3" t="s">
        <v>2</v>
      </c>
      <c r="B10" s="38"/>
      <c r="C10" s="38"/>
      <c r="D10" s="3" t="s">
        <v>117</v>
      </c>
      <c r="E10" s="3">
        <v>0</v>
      </c>
      <c r="F10" s="3">
        <v>1</v>
      </c>
      <c r="G10" s="11"/>
      <c r="H10" s="3">
        <v>1</v>
      </c>
      <c r="I10" s="3">
        <v>1979</v>
      </c>
      <c r="J10" s="3">
        <v>2</v>
      </c>
      <c r="K10" s="91">
        <v>7.876</v>
      </c>
      <c r="L10">
        <v>0.0786</v>
      </c>
      <c r="M10">
        <v>0.0212</v>
      </c>
      <c r="N10" s="58">
        <v>-0.0003</v>
      </c>
      <c r="O10" s="10">
        <f t="shared" si="0"/>
        <v>7.876</v>
      </c>
      <c r="P10" s="3">
        <v>100</v>
      </c>
      <c r="Q10">
        <v>11045</v>
      </c>
      <c r="R10" s="3">
        <v>100</v>
      </c>
      <c r="S10" s="3">
        <v>1</v>
      </c>
      <c r="T10">
        <v>32796</v>
      </c>
      <c r="U10">
        <v>27068</v>
      </c>
      <c r="V10" s="20">
        <f t="shared" si="1"/>
        <v>0.8253445542139285</v>
      </c>
      <c r="W10" s="12">
        <v>2.4019248</v>
      </c>
      <c r="X10" s="13">
        <v>1980</v>
      </c>
      <c r="Y10">
        <v>32796</v>
      </c>
      <c r="Z10" s="32">
        <v>12.9</v>
      </c>
      <c r="AA10" s="32">
        <v>19</v>
      </c>
      <c r="AB10" s="41">
        <f t="shared" si="2"/>
        <v>9744.321655239237</v>
      </c>
      <c r="AC10" s="3">
        <v>1</v>
      </c>
      <c r="AD10">
        <v>72</v>
      </c>
      <c r="AE10">
        <v>8.46</v>
      </c>
      <c r="AF10">
        <f>Z10</f>
        <v>12.9</v>
      </c>
      <c r="AG10" s="11"/>
      <c r="AH10" s="3"/>
      <c r="AI10" s="3"/>
      <c r="AJ10" s="3"/>
      <c r="AK10" s="16"/>
      <c r="AL10" s="3" t="s">
        <v>2</v>
      </c>
      <c r="AM10" s="46">
        <f t="shared" si="3"/>
        <v>9744.321655239237</v>
      </c>
      <c r="AN10" s="46">
        <f t="shared" si="4"/>
        <v>11045</v>
      </c>
      <c r="AO10" s="14">
        <f t="shared" si="5"/>
        <v>3.4805836665642738</v>
      </c>
      <c r="AP10" s="14">
        <f t="shared" si="6"/>
        <v>1.2763443304894546</v>
      </c>
      <c r="AQ10" s="14">
        <f t="shared" si="7"/>
        <v>1.3694374019677764</v>
      </c>
      <c r="AR10" s="14">
        <f t="shared" si="8"/>
        <v>1.8753587979082533</v>
      </c>
      <c r="AS10" s="3" t="s">
        <v>180</v>
      </c>
      <c r="AT10" s="3"/>
    </row>
    <row r="11" spans="1:46" ht="12.75" hidden="1">
      <c r="A11" s="3" t="s">
        <v>2</v>
      </c>
      <c r="B11" s="38">
        <v>425</v>
      </c>
      <c r="C11" s="38"/>
      <c r="D11" s="3" t="s">
        <v>85</v>
      </c>
      <c r="E11" s="3">
        <v>0</v>
      </c>
      <c r="F11" s="26">
        <v>50</v>
      </c>
      <c r="G11" s="11"/>
      <c r="H11" s="3">
        <v>1</v>
      </c>
      <c r="I11" s="3">
        <v>1988</v>
      </c>
      <c r="J11" s="3">
        <v>1</v>
      </c>
      <c r="K11" s="52">
        <v>4.494</v>
      </c>
      <c r="L11" s="71">
        <v>0.093</v>
      </c>
      <c r="M11" s="9">
        <v>0.032</v>
      </c>
      <c r="N11" s="56">
        <v>-0.00048</v>
      </c>
      <c r="O11" s="10">
        <f t="shared" si="0"/>
        <v>8.406023005428146</v>
      </c>
      <c r="P11" s="3">
        <v>100</v>
      </c>
      <c r="Q11">
        <v>19706</v>
      </c>
      <c r="R11" s="3">
        <v>100</v>
      </c>
      <c r="S11" s="3">
        <v>1</v>
      </c>
      <c r="T11">
        <v>36083</v>
      </c>
      <c r="U11">
        <v>32705</v>
      </c>
      <c r="V11" s="20">
        <f t="shared" si="1"/>
        <v>0.9063825069977551</v>
      </c>
      <c r="W11" s="12">
        <v>2.4019248</v>
      </c>
      <c r="X11" s="13">
        <v>1990</v>
      </c>
      <c r="Y11">
        <v>36859</v>
      </c>
      <c r="Z11" s="16">
        <v>13</v>
      </c>
      <c r="AA11" s="32">
        <f>$AA$6</f>
        <v>20</v>
      </c>
      <c r="AB11" s="41">
        <f t="shared" si="2"/>
        <v>23459.31693030159</v>
      </c>
      <c r="AC11" s="26">
        <v>0</v>
      </c>
      <c r="AD11">
        <v>72</v>
      </c>
      <c r="AG11" s="11"/>
      <c r="AH11" s="3"/>
      <c r="AI11" s="3"/>
      <c r="AJ11" s="3"/>
      <c r="AK11" s="16"/>
      <c r="AL11" s="3" t="s">
        <v>2</v>
      </c>
      <c r="AM11" s="46">
        <f t="shared" si="3"/>
        <v>23459.31693030159</v>
      </c>
      <c r="AN11" s="46">
        <f t="shared" si="4"/>
        <v>19706</v>
      </c>
      <c r="AO11" s="14">
        <f t="shared" si="5"/>
        <v>4.777894651499929</v>
      </c>
      <c r="AP11" s="14">
        <f t="shared" si="6"/>
        <v>1.4219085237185776</v>
      </c>
      <c r="AQ11" s="14">
        <f t="shared" si="7"/>
        <v>1.4506329812931589</v>
      </c>
      <c r="AR11" s="14">
        <f t="shared" si="8"/>
        <v>2.104336046415478</v>
      </c>
      <c r="AS11" s="3" t="s">
        <v>86</v>
      </c>
      <c r="AT11" s="3"/>
    </row>
    <row r="12" spans="1:46" ht="12.75" hidden="1">
      <c r="A12" s="3" t="s">
        <v>2</v>
      </c>
      <c r="B12" s="38"/>
      <c r="C12" s="38"/>
      <c r="D12" s="3"/>
      <c r="E12" s="3">
        <v>0</v>
      </c>
      <c r="F12" s="26">
        <v>50</v>
      </c>
      <c r="G12" s="11"/>
      <c r="H12" s="3">
        <v>1</v>
      </c>
      <c r="I12" s="3">
        <v>1988</v>
      </c>
      <c r="J12" s="3">
        <v>2</v>
      </c>
      <c r="K12" s="52">
        <v>4.494</v>
      </c>
      <c r="L12" s="71">
        <v>0.093</v>
      </c>
      <c r="M12" s="9">
        <v>0.032</v>
      </c>
      <c r="N12" s="56">
        <v>-0.00048</v>
      </c>
      <c r="O12" s="10">
        <f t="shared" si="0"/>
        <v>8.406023005428146</v>
      </c>
      <c r="P12" s="3">
        <v>100</v>
      </c>
      <c r="Q12">
        <v>19706</v>
      </c>
      <c r="R12" s="3">
        <v>100</v>
      </c>
      <c r="S12" s="3">
        <v>1</v>
      </c>
      <c r="T12">
        <v>36083</v>
      </c>
      <c r="U12">
        <v>32705</v>
      </c>
      <c r="V12" s="20">
        <f t="shared" si="1"/>
        <v>0.9063825069977551</v>
      </c>
      <c r="W12" s="12">
        <v>2.4019248</v>
      </c>
      <c r="X12" s="13">
        <v>1990</v>
      </c>
      <c r="Y12">
        <v>36859</v>
      </c>
      <c r="Z12" s="16">
        <v>13</v>
      </c>
      <c r="AA12" s="32">
        <f>$AA$6</f>
        <v>20</v>
      </c>
      <c r="AB12" s="41">
        <f t="shared" si="2"/>
        <v>23459.31693030159</v>
      </c>
      <c r="AC12" s="26">
        <v>0</v>
      </c>
      <c r="AD12">
        <v>72</v>
      </c>
      <c r="AG12" s="11"/>
      <c r="AH12" s="3"/>
      <c r="AI12" s="3"/>
      <c r="AJ12" s="3"/>
      <c r="AK12" s="16"/>
      <c r="AL12" s="3" t="s">
        <v>2</v>
      </c>
      <c r="AM12" s="46">
        <f t="shared" si="3"/>
        <v>23459.31693030159</v>
      </c>
      <c r="AN12" s="46">
        <f t="shared" si="4"/>
        <v>19706</v>
      </c>
      <c r="AO12" s="14">
        <f t="shared" si="5"/>
        <v>4.777894651499929</v>
      </c>
      <c r="AP12" s="14">
        <f t="shared" si="6"/>
        <v>1.4219085237185776</v>
      </c>
      <c r="AQ12" s="14">
        <f t="shared" si="7"/>
        <v>1.4506329812931589</v>
      </c>
      <c r="AR12" s="14">
        <f t="shared" si="8"/>
        <v>2.104336046415478</v>
      </c>
      <c r="AS12" s="3" t="s">
        <v>112</v>
      </c>
      <c r="AT12" s="3"/>
    </row>
    <row r="13" spans="1:46" ht="12.75" hidden="1">
      <c r="A13" s="3" t="s">
        <v>2</v>
      </c>
      <c r="B13" s="38"/>
      <c r="C13" s="38"/>
      <c r="D13" s="3" t="s">
        <v>54</v>
      </c>
      <c r="E13" s="3">
        <v>0</v>
      </c>
      <c r="F13" s="3">
        <v>1</v>
      </c>
      <c r="G13" s="11"/>
      <c r="H13" s="3">
        <v>1</v>
      </c>
      <c r="I13" s="3">
        <v>1979</v>
      </c>
      <c r="J13" s="3">
        <v>1</v>
      </c>
      <c r="K13" s="52">
        <v>8.657</v>
      </c>
      <c r="L13" s="71">
        <v>0.058</v>
      </c>
      <c r="M13" s="9">
        <v>0.028</v>
      </c>
      <c r="N13" s="56">
        <v>-0.000432</v>
      </c>
      <c r="O13" s="10">
        <f t="shared" si="0"/>
        <v>8.657</v>
      </c>
      <c r="P13" s="3">
        <v>100</v>
      </c>
      <c r="Q13">
        <v>11045</v>
      </c>
      <c r="R13" s="3">
        <v>100</v>
      </c>
      <c r="S13" s="3">
        <v>1</v>
      </c>
      <c r="T13">
        <v>32796</v>
      </c>
      <c r="U13">
        <v>27068</v>
      </c>
      <c r="V13" s="20">
        <f t="shared" si="1"/>
        <v>0.8253445542139285</v>
      </c>
      <c r="W13" s="12">
        <v>2.4019248</v>
      </c>
      <c r="X13" s="13">
        <v>1980</v>
      </c>
      <c r="Y13">
        <v>32796</v>
      </c>
      <c r="Z13" s="16">
        <v>13</v>
      </c>
      <c r="AA13" s="32">
        <f>$AA$6</f>
        <v>20</v>
      </c>
      <c r="AB13" s="41">
        <f t="shared" si="2"/>
        <v>18001.31338410428</v>
      </c>
      <c r="AC13" s="26">
        <v>0</v>
      </c>
      <c r="AD13">
        <v>72</v>
      </c>
      <c r="AG13" s="11"/>
      <c r="AH13" s="3"/>
      <c r="AI13" s="3"/>
      <c r="AJ13" s="3"/>
      <c r="AK13" s="16"/>
      <c r="AL13" s="3" t="s">
        <v>2</v>
      </c>
      <c r="AM13" s="46">
        <f t="shared" si="3"/>
        <v>18001.31338410428</v>
      </c>
      <c r="AN13" s="46">
        <f t="shared" si="4"/>
        <v>11045</v>
      </c>
      <c r="AO13" s="14">
        <f t="shared" si="5"/>
        <v>2.954117618482986</v>
      </c>
      <c r="AP13" s="14">
        <f t="shared" si="6"/>
        <v>1.3509391266920934</v>
      </c>
      <c r="AQ13" s="14">
        <f t="shared" si="7"/>
        <v>1.2611197288283293</v>
      </c>
      <c r="AR13" s="14">
        <f t="shared" si="8"/>
        <v>1.5904229704400392</v>
      </c>
      <c r="AS13" s="3" t="s">
        <v>127</v>
      </c>
      <c r="AT13" s="3"/>
    </row>
    <row r="14" spans="1:46" ht="12.75" hidden="1">
      <c r="A14" s="3" t="s">
        <v>2</v>
      </c>
      <c r="B14" s="38"/>
      <c r="C14" s="38"/>
      <c r="D14" s="3"/>
      <c r="E14" s="3">
        <v>0</v>
      </c>
      <c r="F14" s="3">
        <v>1</v>
      </c>
      <c r="G14" s="11"/>
      <c r="H14" s="3">
        <v>1</v>
      </c>
      <c r="I14" s="3">
        <v>1979</v>
      </c>
      <c r="J14" s="3">
        <v>2</v>
      </c>
      <c r="K14" s="52">
        <v>8.657</v>
      </c>
      <c r="L14" s="71">
        <v>0.058</v>
      </c>
      <c r="M14" s="9">
        <v>0.028</v>
      </c>
      <c r="N14" s="56">
        <v>-0.000432</v>
      </c>
      <c r="O14" s="10">
        <f t="shared" si="0"/>
        <v>8.657</v>
      </c>
      <c r="P14" s="3">
        <v>100</v>
      </c>
      <c r="Q14">
        <v>11045</v>
      </c>
      <c r="R14" s="3">
        <v>100</v>
      </c>
      <c r="S14" s="3">
        <v>1</v>
      </c>
      <c r="T14">
        <v>32796</v>
      </c>
      <c r="U14">
        <v>27068</v>
      </c>
      <c r="V14" s="20">
        <f t="shared" si="1"/>
        <v>0.8253445542139285</v>
      </c>
      <c r="W14" s="12">
        <v>2.4019248</v>
      </c>
      <c r="X14" s="13">
        <v>1980</v>
      </c>
      <c r="Y14">
        <v>32796</v>
      </c>
      <c r="Z14" s="16">
        <v>13</v>
      </c>
      <c r="AA14" s="32">
        <f>$AA$6</f>
        <v>20</v>
      </c>
      <c r="AB14" s="41">
        <f t="shared" si="2"/>
        <v>18001.31338410428</v>
      </c>
      <c r="AC14" s="26">
        <v>0</v>
      </c>
      <c r="AD14">
        <v>72</v>
      </c>
      <c r="AG14" s="11"/>
      <c r="AH14" s="3"/>
      <c r="AI14" s="3"/>
      <c r="AJ14" s="3"/>
      <c r="AK14" s="16"/>
      <c r="AL14" s="3" t="s">
        <v>2</v>
      </c>
      <c r="AM14" s="46">
        <f t="shared" si="3"/>
        <v>18001.31338410428</v>
      </c>
      <c r="AN14" s="46">
        <f t="shared" si="4"/>
        <v>11045</v>
      </c>
      <c r="AO14" s="14">
        <f t="shared" si="5"/>
        <v>2.954117618482986</v>
      </c>
      <c r="AP14" s="14">
        <f t="shared" si="6"/>
        <v>1.3509391266920934</v>
      </c>
      <c r="AQ14" s="14">
        <f t="shared" si="7"/>
        <v>1.2611197288283293</v>
      </c>
      <c r="AR14" s="14">
        <f t="shared" si="8"/>
        <v>1.5904229704400392</v>
      </c>
      <c r="AS14" s="3" t="s">
        <v>128</v>
      </c>
      <c r="AT14" s="3"/>
    </row>
    <row r="15" spans="1:46" ht="12.75">
      <c r="A15" s="3" t="s">
        <v>133</v>
      </c>
      <c r="B15" s="38">
        <v>1235</v>
      </c>
      <c r="C15" s="38">
        <f>EXP(K15+L15*Z15+M15*AA15+N15*AA15^2)</f>
        <v>1501.6818364061721</v>
      </c>
      <c r="D15" s="3" t="s">
        <v>134</v>
      </c>
      <c r="E15" s="3">
        <v>1</v>
      </c>
      <c r="F15" s="3">
        <v>12000</v>
      </c>
      <c r="G15" s="11"/>
      <c r="H15" s="3">
        <v>30005</v>
      </c>
      <c r="I15" s="3">
        <v>1980</v>
      </c>
      <c r="J15" s="3">
        <v>1</v>
      </c>
      <c r="K15" s="52">
        <f>-0.942+1.584*LN(43)</f>
        <v>5.015740983258603</v>
      </c>
      <c r="L15" s="71">
        <v>0.08</v>
      </c>
      <c r="M15" s="9">
        <v>0.087</v>
      </c>
      <c r="N15" s="56">
        <v>-0.0004</v>
      </c>
      <c r="O15" s="10">
        <f t="shared" si="0"/>
        <v>4.610275875150437</v>
      </c>
      <c r="P15">
        <v>42.5</v>
      </c>
      <c r="Q15">
        <v>5049</v>
      </c>
      <c r="R15">
        <v>147.18</v>
      </c>
      <c r="S15" s="75">
        <f>0.018*1000000</f>
        <v>18000</v>
      </c>
      <c r="T15">
        <v>17828</v>
      </c>
      <c r="U15">
        <v>11663</v>
      </c>
      <c r="V15" s="20">
        <f t="shared" si="1"/>
        <v>0.6541956472963877</v>
      </c>
      <c r="W15" s="12">
        <v>2.4154473</v>
      </c>
      <c r="X15" s="13">
        <v>1980</v>
      </c>
      <c r="Y15">
        <v>17162</v>
      </c>
      <c r="Z15" s="16">
        <v>8.1</v>
      </c>
      <c r="AA15" s="32">
        <v>21</v>
      </c>
      <c r="AB15" s="45">
        <f t="shared" si="2"/>
        <v>1001.1212242707803</v>
      </c>
      <c r="AC15" s="26">
        <v>0</v>
      </c>
      <c r="AD15">
        <v>73</v>
      </c>
      <c r="AE15">
        <v>-99</v>
      </c>
      <c r="AF15">
        <v>-99</v>
      </c>
      <c r="AG15" s="11"/>
      <c r="AH15" s="3"/>
      <c r="AI15" s="3"/>
      <c r="AJ15" s="3">
        <v>43</v>
      </c>
      <c r="AK15" s="16"/>
      <c r="AL15" s="3" t="s">
        <v>133</v>
      </c>
      <c r="AM15" s="46">
        <f t="shared" si="3"/>
        <v>1001.1212242707803</v>
      </c>
      <c r="AN15" s="46">
        <f t="shared" si="4"/>
        <v>7431.118200000001</v>
      </c>
      <c r="AO15" s="14">
        <f t="shared" si="5"/>
        <v>12.679670970833872</v>
      </c>
      <c r="AP15" s="14">
        <f t="shared" si="6"/>
        <v>4.4816890703380645</v>
      </c>
      <c r="AQ15" s="14">
        <f t="shared" si="7"/>
        <v>1.3771277643359572</v>
      </c>
      <c r="AR15" s="14">
        <f t="shared" si="8"/>
        <v>1.8964808793049515</v>
      </c>
      <c r="AS15" t="s">
        <v>186</v>
      </c>
      <c r="AT15" s="15" t="s">
        <v>271</v>
      </c>
    </row>
    <row r="16" spans="1:46" ht="12.75">
      <c r="A16" s="3" t="s">
        <v>133</v>
      </c>
      <c r="B16" s="38">
        <v>333</v>
      </c>
      <c r="C16" s="39">
        <f aca="true" t="shared" si="9" ref="C16:C75">EXP(K16+L16*Z16+M16*AA16+N16*AA16^2)</f>
        <v>126.52533769342187</v>
      </c>
      <c r="D16" s="3" t="s">
        <v>135</v>
      </c>
      <c r="E16" s="3">
        <v>1</v>
      </c>
      <c r="F16" s="3">
        <v>12000</v>
      </c>
      <c r="G16" s="11"/>
      <c r="H16" s="3">
        <v>30005</v>
      </c>
      <c r="I16" s="3">
        <v>1980</v>
      </c>
      <c r="J16" s="3">
        <v>2</v>
      </c>
      <c r="K16" s="52">
        <f>-3.096+2.228*LN(22)</f>
        <v>3.790842586082329</v>
      </c>
      <c r="L16" s="71">
        <v>0.098</v>
      </c>
      <c r="M16" s="9">
        <v>0.017</v>
      </c>
      <c r="N16" s="56">
        <v>-0.0002</v>
      </c>
      <c r="O16" s="10">
        <f t="shared" si="0"/>
        <v>3.3853774779741634</v>
      </c>
      <c r="P16">
        <v>42.5</v>
      </c>
      <c r="Q16">
        <v>5049</v>
      </c>
      <c r="R16">
        <v>147.18</v>
      </c>
      <c r="S16" s="75">
        <f>0.018*1000000</f>
        <v>18000</v>
      </c>
      <c r="T16">
        <v>17828</v>
      </c>
      <c r="U16">
        <v>11663</v>
      </c>
      <c r="V16" s="20">
        <f t="shared" si="1"/>
        <v>0.6541956472963877</v>
      </c>
      <c r="W16" s="12">
        <v>2.4154473</v>
      </c>
      <c r="X16" s="13">
        <v>1980</v>
      </c>
      <c r="Y16">
        <v>17162</v>
      </c>
      <c r="Z16" s="16">
        <v>7.8</v>
      </c>
      <c r="AA16" s="32">
        <v>23</v>
      </c>
      <c r="AB16" s="45">
        <f t="shared" si="2"/>
        <v>84.35022512894783</v>
      </c>
      <c r="AC16" s="26">
        <v>0</v>
      </c>
      <c r="AD16">
        <v>73</v>
      </c>
      <c r="AE16">
        <f>AE15</f>
        <v>-99</v>
      </c>
      <c r="AF16">
        <v>-99</v>
      </c>
      <c r="AG16" s="11"/>
      <c r="AH16" s="3"/>
      <c r="AI16" s="3"/>
      <c r="AJ16" s="3">
        <v>22</v>
      </c>
      <c r="AK16" s="16"/>
      <c r="AL16" s="3" t="s">
        <v>133</v>
      </c>
      <c r="AM16" s="46">
        <f t="shared" si="3"/>
        <v>84.35022512894783</v>
      </c>
      <c r="AN16" s="46">
        <f t="shared" si="4"/>
        <v>7431.118200000001</v>
      </c>
      <c r="AO16" s="14">
        <f t="shared" si="5"/>
        <v>4.203846754319333</v>
      </c>
      <c r="AP16" s="14">
        <f t="shared" si="6"/>
        <v>1.2460767305873808</v>
      </c>
      <c r="AQ16" s="14">
        <f t="shared" si="7"/>
        <v>1.4799377114022885</v>
      </c>
      <c r="AR16" s="14">
        <f t="shared" si="8"/>
        <v>2.190215629630643</v>
      </c>
      <c r="AS16" t="str">
        <f>AS15</f>
        <v>Psacharopoulos and Ng (1992)</v>
      </c>
      <c r="AT16" s="15" t="s">
        <v>270</v>
      </c>
    </row>
    <row r="17" spans="1:46" ht="12.75">
      <c r="A17" s="3" t="s">
        <v>133</v>
      </c>
      <c r="B17" s="38">
        <v>8563</v>
      </c>
      <c r="C17" s="38">
        <f t="shared" si="9"/>
        <v>7775.769442011509</v>
      </c>
      <c r="D17" s="3" t="s">
        <v>134</v>
      </c>
      <c r="E17" s="3">
        <v>1</v>
      </c>
      <c r="F17" s="3">
        <v>12</v>
      </c>
      <c r="G17" s="11"/>
      <c r="H17" s="3">
        <v>30005</v>
      </c>
      <c r="I17" s="3">
        <v>1989</v>
      </c>
      <c r="J17" s="3">
        <v>1</v>
      </c>
      <c r="K17" s="52">
        <f>5.843+0.355*LN(46)</f>
        <v>7.202167695753628</v>
      </c>
      <c r="L17" s="71">
        <v>0.107</v>
      </c>
      <c r="M17" s="9">
        <v>0.052</v>
      </c>
      <c r="N17" s="56">
        <v>-0.0007</v>
      </c>
      <c r="O17" s="10">
        <f t="shared" si="0"/>
        <v>7.165353722630911</v>
      </c>
      <c r="P17">
        <v>26.4</v>
      </c>
      <c r="Q17">
        <v>5545</v>
      </c>
      <c r="R17">
        <v>46.34</v>
      </c>
      <c r="S17" s="75">
        <v>12.45</v>
      </c>
      <c r="T17">
        <v>13938</v>
      </c>
      <c r="U17">
        <v>11520</v>
      </c>
      <c r="V17" s="20">
        <f t="shared" si="1"/>
        <v>0.8265174343521309</v>
      </c>
      <c r="W17" s="12">
        <v>2.4154473</v>
      </c>
      <c r="X17" s="13">
        <v>1990</v>
      </c>
      <c r="Y17">
        <v>13938</v>
      </c>
      <c r="Z17" s="16">
        <v>8.7</v>
      </c>
      <c r="AA17" s="32">
        <v>23</v>
      </c>
      <c r="AB17" s="41">
        <f t="shared" si="2"/>
        <v>7494.717534468919</v>
      </c>
      <c r="AC17" s="3">
        <v>1</v>
      </c>
      <c r="AD17">
        <v>73</v>
      </c>
      <c r="AE17">
        <f>AE16</f>
        <v>-99</v>
      </c>
      <c r="AF17">
        <v>13.35</v>
      </c>
      <c r="AG17" s="11"/>
      <c r="AH17" s="3"/>
      <c r="AI17" s="3"/>
      <c r="AJ17" s="3">
        <v>46</v>
      </c>
      <c r="AK17" s="16"/>
      <c r="AL17" s="3" t="str">
        <f>A17</f>
        <v>Argentina</v>
      </c>
      <c r="AM17" s="46">
        <f t="shared" si="3"/>
        <v>7494.717534468919</v>
      </c>
      <c r="AN17" s="46">
        <f t="shared" si="4"/>
        <v>2569.5530000000003</v>
      </c>
      <c r="AO17" s="14">
        <f t="shared" si="5"/>
        <v>7.721433242663369</v>
      </c>
      <c r="AP17" s="14">
        <f t="shared" si="6"/>
        <v>1.858928041846342</v>
      </c>
      <c r="AQ17" s="14">
        <f t="shared" si="7"/>
        <v>1.5341860809675796</v>
      </c>
      <c r="AR17" s="14">
        <f t="shared" si="8"/>
        <v>2.353726931034661</v>
      </c>
      <c r="AS17" t="str">
        <f>AS16</f>
        <v>Psacharopoulos and Ng (1992)</v>
      </c>
      <c r="AT17" s="3"/>
    </row>
    <row r="18" spans="1:46" ht="12.75">
      <c r="A18" s="3" t="s">
        <v>133</v>
      </c>
      <c r="B18" s="38">
        <v>5629</v>
      </c>
      <c r="C18" s="38">
        <f t="shared" si="9"/>
        <v>4842.9347714567775</v>
      </c>
      <c r="D18" s="3" t="s">
        <v>135</v>
      </c>
      <c r="E18" s="3">
        <v>1</v>
      </c>
      <c r="F18" s="3">
        <v>12</v>
      </c>
      <c r="G18" s="11"/>
      <c r="H18" s="3">
        <v>30005</v>
      </c>
      <c r="I18" s="3">
        <v>1989</v>
      </c>
      <c r="J18" s="3">
        <v>2</v>
      </c>
      <c r="K18" s="52">
        <f>4.719+0.59*LN(36)</f>
        <v>6.8332761736891054</v>
      </c>
      <c r="L18" s="71">
        <v>0.112</v>
      </c>
      <c r="M18" s="9">
        <v>0.039</v>
      </c>
      <c r="N18" s="56">
        <v>-0.0006</v>
      </c>
      <c r="O18" s="10">
        <f t="shared" si="0"/>
        <v>6.796462200566388</v>
      </c>
      <c r="P18">
        <v>26.4</v>
      </c>
      <c r="Q18">
        <v>5545</v>
      </c>
      <c r="R18">
        <v>46.34</v>
      </c>
      <c r="S18" s="75">
        <v>12.45</v>
      </c>
      <c r="T18">
        <v>13938</v>
      </c>
      <c r="U18">
        <v>11520</v>
      </c>
      <c r="V18" s="20">
        <f t="shared" si="1"/>
        <v>0.8265174343521309</v>
      </c>
      <c r="W18" s="12">
        <v>2.4154473</v>
      </c>
      <c r="X18" s="13">
        <v>1990</v>
      </c>
      <c r="Y18">
        <v>13938</v>
      </c>
      <c r="Z18" s="16">
        <v>9.8</v>
      </c>
      <c r="AA18" s="32">
        <v>21</v>
      </c>
      <c r="AB18" s="41">
        <f t="shared" si="2"/>
        <v>4667.88893634387</v>
      </c>
      <c r="AC18" s="3">
        <v>1</v>
      </c>
      <c r="AD18">
        <v>73</v>
      </c>
      <c r="AE18">
        <f>AE17</f>
        <v>-99</v>
      </c>
      <c r="AF18">
        <v>-99</v>
      </c>
      <c r="AG18" s="11"/>
      <c r="AH18" s="3"/>
      <c r="AI18" s="3"/>
      <c r="AJ18" s="3">
        <v>36</v>
      </c>
      <c r="AK18" s="16"/>
      <c r="AL18" s="3" t="str">
        <f aca="true" t="shared" si="10" ref="AL18:AL76">A18</f>
        <v>Argentina</v>
      </c>
      <c r="AM18" s="46">
        <f t="shared" si="3"/>
        <v>4667.88893634387</v>
      </c>
      <c r="AN18" s="46">
        <f t="shared" si="4"/>
        <v>2569.5530000000003</v>
      </c>
      <c r="AO18" s="14">
        <f t="shared" si="5"/>
        <v>6.579771379652823</v>
      </c>
      <c r="AP18" s="14">
        <f t="shared" si="6"/>
        <v>1.5219615556186339</v>
      </c>
      <c r="AQ18" s="14">
        <f t="shared" si="7"/>
        <v>1.5651786956535216</v>
      </c>
      <c r="AR18" s="14">
        <f t="shared" si="8"/>
        <v>2.4497843493276594</v>
      </c>
      <c r="AS18" t="str">
        <f>AS17</f>
        <v>Psacharopoulos and Ng (1992)</v>
      </c>
      <c r="AT18" s="3"/>
    </row>
    <row r="19" spans="1:46" ht="12.75">
      <c r="A19" s="3" t="s">
        <v>95</v>
      </c>
      <c r="B19" s="38">
        <f>17453/12</f>
        <v>1454.4166666666667</v>
      </c>
      <c r="C19" s="38">
        <f t="shared" si="9"/>
        <v>2050.9036953566065</v>
      </c>
      <c r="D19" s="3" t="s">
        <v>106</v>
      </c>
      <c r="E19" s="3">
        <v>1</v>
      </c>
      <c r="F19" s="3">
        <v>12</v>
      </c>
      <c r="G19" s="11"/>
      <c r="H19" s="3">
        <v>70010</v>
      </c>
      <c r="I19" s="3">
        <v>1981</v>
      </c>
      <c r="J19" s="3">
        <v>1</v>
      </c>
      <c r="K19" s="52">
        <v>8.508</v>
      </c>
      <c r="L19" s="71">
        <v>0.064</v>
      </c>
      <c r="M19" s="9">
        <v>0.034</v>
      </c>
      <c r="N19" s="56">
        <v>-0.00582</v>
      </c>
      <c r="O19" s="10">
        <f aca="true" t="shared" si="11" ref="O19:O29">K19-LN(S19)+LN(F19)</f>
        <v>11.122787570642519</v>
      </c>
      <c r="P19">
        <v>82.6</v>
      </c>
      <c r="Q19">
        <v>9822</v>
      </c>
      <c r="R19">
        <v>110.7</v>
      </c>
      <c r="S19">
        <v>0.8782</v>
      </c>
      <c r="T19">
        <v>27276</v>
      </c>
      <c r="U19">
        <v>31080</v>
      </c>
      <c r="V19" s="20">
        <f aca="true" t="shared" si="12" ref="V19:V25">U19/T19</f>
        <v>1.139463264408271</v>
      </c>
      <c r="W19" s="12">
        <v>2.972134</v>
      </c>
      <c r="X19" s="13">
        <v>1980</v>
      </c>
      <c r="Y19">
        <v>26823</v>
      </c>
      <c r="Z19" s="16">
        <v>12.5</v>
      </c>
      <c r="AA19" s="32">
        <v>20.17</v>
      </c>
      <c r="AB19" s="41">
        <f t="shared" si="2"/>
        <v>28024.19078146124</v>
      </c>
      <c r="AC19" s="26">
        <v>0</v>
      </c>
      <c r="AD19" s="48">
        <v>145</v>
      </c>
      <c r="AE19">
        <v>8.32</v>
      </c>
      <c r="AF19">
        <v>-99</v>
      </c>
      <c r="AG19" s="11"/>
      <c r="AH19" s="3"/>
      <c r="AI19" s="3"/>
      <c r="AJ19" s="3"/>
      <c r="AK19" s="16"/>
      <c r="AL19" s="28" t="str">
        <f t="shared" si="10"/>
        <v>Australia</v>
      </c>
      <c r="AM19" s="46">
        <f t="shared" si="3"/>
        <v>28024.19078146124</v>
      </c>
      <c r="AN19" s="46">
        <f t="shared" si="4"/>
        <v>10872.954000000002</v>
      </c>
      <c r="AO19" s="22">
        <f t="shared" si="5"/>
        <v>0.41478291168158143</v>
      </c>
      <c r="AP19" s="30">
        <f t="shared" si="6"/>
        <v>0.0600847027373404</v>
      </c>
      <c r="AQ19" s="22">
        <f t="shared" si="7"/>
        <v>1.291752727939704</v>
      </c>
      <c r="AR19" s="22">
        <f t="shared" si="8"/>
        <v>1.668625110139667</v>
      </c>
      <c r="AS19" t="s">
        <v>102</v>
      </c>
      <c r="AT19" s="15" t="s">
        <v>275</v>
      </c>
    </row>
    <row r="20" spans="1:46" ht="12.75">
      <c r="A20" s="3" t="s">
        <v>95</v>
      </c>
      <c r="B20" s="38">
        <v>29482</v>
      </c>
      <c r="C20" s="38">
        <f t="shared" si="9"/>
        <v>26911.572337467835</v>
      </c>
      <c r="D20" s="3" t="s">
        <v>96</v>
      </c>
      <c r="E20" s="3">
        <v>1</v>
      </c>
      <c r="F20" s="3">
        <v>1</v>
      </c>
      <c r="G20" s="11"/>
      <c r="H20" s="3">
        <v>70010</v>
      </c>
      <c r="I20" s="3">
        <v>1987</v>
      </c>
      <c r="J20" s="3">
        <v>1</v>
      </c>
      <c r="K20" s="52">
        <v>8.47</v>
      </c>
      <c r="L20" s="71">
        <v>0.106</v>
      </c>
      <c r="M20" s="9">
        <v>0.043</v>
      </c>
      <c r="N20" s="56">
        <v>-0.000565</v>
      </c>
      <c r="O20" s="10">
        <f t="shared" si="11"/>
        <v>8.222358977085403</v>
      </c>
      <c r="P20">
        <v>80.3</v>
      </c>
      <c r="Q20">
        <v>17517</v>
      </c>
      <c r="R20">
        <v>99.33</v>
      </c>
      <c r="S20">
        <v>1.281</v>
      </c>
      <c r="T20">
        <v>30312</v>
      </c>
      <c r="U20">
        <v>37854</v>
      </c>
      <c r="V20" s="20">
        <f t="shared" si="12"/>
        <v>1.248812351543943</v>
      </c>
      <c r="W20" s="12">
        <v>2.972134</v>
      </c>
      <c r="X20" s="13">
        <v>1990</v>
      </c>
      <c r="Y20">
        <v>31271</v>
      </c>
      <c r="Z20" s="16">
        <v>10.31</v>
      </c>
      <c r="AA20" s="32">
        <v>20.17</v>
      </c>
      <c r="AB20" s="41">
        <f t="shared" si="2"/>
        <v>21008.253190841384</v>
      </c>
      <c r="AC20" s="3">
        <v>1</v>
      </c>
      <c r="AD20" s="48">
        <v>145</v>
      </c>
      <c r="AE20">
        <f>AE19</f>
        <v>8.32</v>
      </c>
      <c r="AF20">
        <v>-99</v>
      </c>
      <c r="AG20" s="11"/>
      <c r="AH20" s="3"/>
      <c r="AI20" s="3"/>
      <c r="AJ20" s="3"/>
      <c r="AK20" s="16"/>
      <c r="AL20" s="3" t="str">
        <f t="shared" si="10"/>
        <v>Australia</v>
      </c>
      <c r="AM20" s="46">
        <f t="shared" si="3"/>
        <v>21008.253190841384</v>
      </c>
      <c r="AN20" s="46">
        <f t="shared" si="4"/>
        <v>17399.6361</v>
      </c>
      <c r="AO20" s="14">
        <f t="shared" si="5"/>
        <v>6.7261303960865755</v>
      </c>
      <c r="AP20" s="14">
        <f t="shared" si="6"/>
        <v>1.6837105186428183</v>
      </c>
      <c r="AQ20" s="14">
        <f t="shared" si="7"/>
        <v>1.5280615937840571</v>
      </c>
      <c r="AR20" s="14">
        <f t="shared" si="8"/>
        <v>2.3349722343978727</v>
      </c>
      <c r="AS20" t="s">
        <v>105</v>
      </c>
      <c r="AT20" s="3"/>
    </row>
    <row r="21" spans="1:46" ht="12.75">
      <c r="A21" s="3" t="s">
        <v>93</v>
      </c>
      <c r="B21" s="38">
        <f>14332/12</f>
        <v>1194.3333333333333</v>
      </c>
      <c r="C21" s="38">
        <f t="shared" si="9"/>
        <v>1007.0850895375544</v>
      </c>
      <c r="D21" s="3" t="s">
        <v>94</v>
      </c>
      <c r="E21" s="3">
        <v>1</v>
      </c>
      <c r="F21" s="3">
        <v>12</v>
      </c>
      <c r="G21" s="11"/>
      <c r="H21" s="3">
        <v>45000</v>
      </c>
      <c r="I21" s="3">
        <v>1987</v>
      </c>
      <c r="J21" s="3">
        <v>1</v>
      </c>
      <c r="K21" s="52">
        <v>8.433</v>
      </c>
      <c r="L21" s="71">
        <v>0.054</v>
      </c>
      <c r="M21" s="9">
        <v>0.051</v>
      </c>
      <c r="N21" s="56">
        <v>-0.008463</v>
      </c>
      <c r="O21" s="10">
        <f t="shared" si="11"/>
        <v>8.38104026106929</v>
      </c>
      <c r="P21">
        <v>67</v>
      </c>
      <c r="Q21">
        <v>12353</v>
      </c>
      <c r="R21">
        <v>125.28</v>
      </c>
      <c r="S21">
        <v>12.64</v>
      </c>
      <c r="T21">
        <v>24366</v>
      </c>
      <c r="U21">
        <v>31709</v>
      </c>
      <c r="V21" s="20">
        <f t="shared" si="12"/>
        <v>1.3013625543790528</v>
      </c>
      <c r="W21" s="12">
        <v>2.9647931</v>
      </c>
      <c r="X21" s="13">
        <v>1990</v>
      </c>
      <c r="Y21">
        <v>26004</v>
      </c>
      <c r="Z21" s="16">
        <v>9.72</v>
      </c>
      <c r="AA21" s="32">
        <v>18.84</v>
      </c>
      <c r="AB21" s="41">
        <f t="shared" si="2"/>
        <v>956.0934394343876</v>
      </c>
      <c r="AC21" s="26">
        <v>0</v>
      </c>
      <c r="AD21" s="48">
        <v>116</v>
      </c>
      <c r="AE21" s="48">
        <v>-99</v>
      </c>
      <c r="AF21">
        <v>14.68</v>
      </c>
      <c r="AG21" s="11"/>
      <c r="AH21" s="3"/>
      <c r="AI21" s="3"/>
      <c r="AJ21" s="3"/>
      <c r="AK21" s="16"/>
      <c r="AL21" s="28" t="str">
        <f t="shared" si="10"/>
        <v>Austria</v>
      </c>
      <c r="AM21" s="46">
        <f t="shared" si="3"/>
        <v>956.0934394343876</v>
      </c>
      <c r="AN21" s="46">
        <f t="shared" si="4"/>
        <v>15475.8384</v>
      </c>
      <c r="AO21" s="22">
        <f t="shared" si="5"/>
        <v>0.17956823572054742</v>
      </c>
      <c r="AP21" s="30">
        <f t="shared" si="6"/>
        <v>0.017287008730654405</v>
      </c>
      <c r="AQ21" s="22">
        <f t="shared" si="7"/>
        <v>1.2411023790006717</v>
      </c>
      <c r="AR21" s="22">
        <f t="shared" si="8"/>
        <v>1.540335115161127</v>
      </c>
      <c r="AS21" t="s">
        <v>105</v>
      </c>
      <c r="AT21" s="15" t="s">
        <v>110</v>
      </c>
    </row>
    <row r="22" spans="1:46" ht="12.75">
      <c r="A22" s="3" t="s">
        <v>136</v>
      </c>
      <c r="B22" s="38">
        <v>403</v>
      </c>
      <c r="C22" s="38">
        <f t="shared" si="9"/>
        <v>307.37245807688294</v>
      </c>
      <c r="D22" s="3" t="s">
        <v>134</v>
      </c>
      <c r="E22" s="3">
        <v>1</v>
      </c>
      <c r="F22" s="3">
        <v>12</v>
      </c>
      <c r="G22" s="11"/>
      <c r="H22" s="3">
        <v>30010</v>
      </c>
      <c r="I22" s="3">
        <v>1989</v>
      </c>
      <c r="J22" s="3">
        <v>1</v>
      </c>
      <c r="K22" s="52">
        <f>3.726+0.301*LN(8.7)</f>
        <v>4.377160230723822</v>
      </c>
      <c r="L22" s="71">
        <v>0.073</v>
      </c>
      <c r="M22" s="9">
        <v>0.046</v>
      </c>
      <c r="N22" s="56">
        <v>-0.0006</v>
      </c>
      <c r="O22" s="10">
        <f t="shared" si="11"/>
        <v>5.871782468729341</v>
      </c>
      <c r="P22">
        <v>8.7</v>
      </c>
      <c r="Q22">
        <v>1832</v>
      </c>
      <c r="R22">
        <v>35.15</v>
      </c>
      <c r="S22">
        <v>2.692</v>
      </c>
      <c r="T22">
        <v>5336</v>
      </c>
      <c r="U22">
        <v>5946</v>
      </c>
      <c r="V22" s="20">
        <f t="shared" si="12"/>
        <v>1.1143178410794603</v>
      </c>
      <c r="W22" s="12">
        <v>1.960899</v>
      </c>
      <c r="X22" s="13">
        <v>1990</v>
      </c>
      <c r="Y22">
        <v>5336</v>
      </c>
      <c r="Z22" s="16">
        <v>9.5</v>
      </c>
      <c r="AA22" s="32">
        <v>19</v>
      </c>
      <c r="AB22" s="41">
        <f t="shared" si="2"/>
        <v>1370.1595456621824</v>
      </c>
      <c r="AC22" s="3">
        <v>1</v>
      </c>
      <c r="AD22" s="48">
        <v>74</v>
      </c>
      <c r="AE22" s="48">
        <v>8.58</v>
      </c>
      <c r="AF22">
        <v>-99</v>
      </c>
      <c r="AG22" s="11"/>
      <c r="AH22" s="3"/>
      <c r="AI22" s="3"/>
      <c r="AJ22" s="3"/>
      <c r="AK22" s="16">
        <v>8.7</v>
      </c>
      <c r="AL22" s="3" t="str">
        <f t="shared" si="10"/>
        <v>Bolivia</v>
      </c>
      <c r="AM22" s="46">
        <f t="shared" si="3"/>
        <v>1370.1595456621824</v>
      </c>
      <c r="AN22" s="46">
        <f t="shared" si="4"/>
        <v>643.948</v>
      </c>
      <c r="AO22" s="14">
        <f t="shared" si="5"/>
        <v>4.739823980017223</v>
      </c>
      <c r="AP22" s="14">
        <f t="shared" si="6"/>
        <v>1.750672500296101</v>
      </c>
      <c r="AQ22" s="14">
        <f t="shared" si="7"/>
        <v>1.3391030176392937</v>
      </c>
      <c r="AR22" s="14">
        <f t="shared" si="8"/>
        <v>1.7931968918506624</v>
      </c>
      <c r="AS22" t="s">
        <v>186</v>
      </c>
      <c r="AT22" s="15"/>
    </row>
    <row r="23" spans="1:46" ht="12.75">
      <c r="A23" s="3" t="s">
        <v>136</v>
      </c>
      <c r="B23" s="38">
        <v>270</v>
      </c>
      <c r="C23" s="38">
        <f t="shared" si="9"/>
        <v>219.07109278449587</v>
      </c>
      <c r="D23" s="3" t="s">
        <v>134</v>
      </c>
      <c r="E23" s="3">
        <v>1</v>
      </c>
      <c r="F23" s="3">
        <v>12</v>
      </c>
      <c r="G23" s="11"/>
      <c r="H23" s="3">
        <v>30010</v>
      </c>
      <c r="I23" s="3">
        <v>1989</v>
      </c>
      <c r="J23" s="3">
        <v>2</v>
      </c>
      <c r="K23" s="52">
        <f>2.994+0.594*LN(7.1)</f>
        <v>4.158296301724079</v>
      </c>
      <c r="L23" s="71">
        <v>0.077</v>
      </c>
      <c r="M23" s="9">
        <v>0.028</v>
      </c>
      <c r="N23" s="56">
        <v>-0.0004</v>
      </c>
      <c r="O23" s="10">
        <f t="shared" si="11"/>
        <v>5.652918539729598</v>
      </c>
      <c r="P23">
        <v>8.7</v>
      </c>
      <c r="Q23">
        <v>1832</v>
      </c>
      <c r="R23">
        <v>35.15</v>
      </c>
      <c r="S23">
        <v>2.692</v>
      </c>
      <c r="T23">
        <v>5336</v>
      </c>
      <c r="U23">
        <v>5946</v>
      </c>
      <c r="V23" s="20">
        <f t="shared" si="12"/>
        <v>1.1143178410794603</v>
      </c>
      <c r="W23" s="12">
        <v>1.960899</v>
      </c>
      <c r="X23" s="13">
        <v>1990</v>
      </c>
      <c r="Y23">
        <v>5336</v>
      </c>
      <c r="Z23" s="16">
        <v>11.5</v>
      </c>
      <c r="AA23" s="32">
        <v>16</v>
      </c>
      <c r="AB23" s="41">
        <f t="shared" si="2"/>
        <v>976.5427612979014</v>
      </c>
      <c r="AC23" s="3">
        <v>1</v>
      </c>
      <c r="AD23" s="48">
        <v>74</v>
      </c>
      <c r="AE23" s="48">
        <v>8.58</v>
      </c>
      <c r="AF23">
        <v>-99</v>
      </c>
      <c r="AG23" s="11"/>
      <c r="AH23" s="3"/>
      <c r="AI23" s="3"/>
      <c r="AJ23" s="3"/>
      <c r="AK23" s="16">
        <v>7.1</v>
      </c>
      <c r="AL23" s="3" t="str">
        <f t="shared" si="10"/>
        <v>Bolivia</v>
      </c>
      <c r="AM23" s="46">
        <f t="shared" si="3"/>
        <v>976.5427612979014</v>
      </c>
      <c r="AN23" s="46">
        <f t="shared" si="4"/>
        <v>643.948</v>
      </c>
      <c r="AO23" s="14">
        <f t="shared" si="5"/>
        <v>3.758425050110714</v>
      </c>
      <c r="AP23" s="14">
        <f t="shared" si="6"/>
        <v>1.3771277643359572</v>
      </c>
      <c r="AQ23" s="14">
        <f t="shared" si="7"/>
        <v>1.3607009889371502</v>
      </c>
      <c r="AR23" s="14">
        <f t="shared" si="8"/>
        <v>1.8515071812945383</v>
      </c>
      <c r="AS23" t="s">
        <v>186</v>
      </c>
      <c r="AT23" s="15"/>
    </row>
    <row r="24" spans="1:46" ht="12.75">
      <c r="A24" s="3" t="s">
        <v>159</v>
      </c>
      <c r="B24" s="38">
        <f>12*EXP(2.51)</f>
        <v>147.65916072612492</v>
      </c>
      <c r="C24" s="38">
        <f t="shared" si="9"/>
        <v>115.70686882698737</v>
      </c>
      <c r="D24" s="3" t="s">
        <v>134</v>
      </c>
      <c r="E24" s="3">
        <v>1</v>
      </c>
      <c r="F24" s="3">
        <v>12</v>
      </c>
      <c r="G24" s="11"/>
      <c r="H24" s="3">
        <v>60091</v>
      </c>
      <c r="I24" s="3">
        <v>1979</v>
      </c>
      <c r="J24" s="3">
        <v>1</v>
      </c>
      <c r="K24" s="52">
        <v>3.093</v>
      </c>
      <c r="L24" s="71">
        <v>0.126</v>
      </c>
      <c r="M24" s="9">
        <v>0.07</v>
      </c>
      <c r="N24" s="56">
        <v>-0.00087</v>
      </c>
      <c r="O24" s="10">
        <f t="shared" si="11"/>
        <v>5.7664072576586705</v>
      </c>
      <c r="P24">
        <v>11.6</v>
      </c>
      <c r="Q24">
        <v>1285</v>
      </c>
      <c r="R24">
        <v>61.21</v>
      </c>
      <c r="S24">
        <v>0.8282</v>
      </c>
      <c r="T24">
        <v>4908</v>
      </c>
      <c r="U24">
        <v>2790</v>
      </c>
      <c r="V24" s="20">
        <f t="shared" si="12"/>
        <v>0.5684596577017115</v>
      </c>
      <c r="W24" s="12">
        <v>1.4053754</v>
      </c>
      <c r="X24" s="13">
        <v>1980</v>
      </c>
      <c r="Y24">
        <f>T24</f>
        <v>4908</v>
      </c>
      <c r="Z24" s="16">
        <v>4.81</v>
      </c>
      <c r="AA24" s="75">
        <f>$AA$6</f>
        <v>20</v>
      </c>
      <c r="AB24" s="41">
        <f t="shared" si="2"/>
        <v>1676.506189234303</v>
      </c>
      <c r="AC24" s="3">
        <v>1</v>
      </c>
      <c r="AD24" s="48">
        <v>4</v>
      </c>
      <c r="AE24" s="48">
        <v>16.36</v>
      </c>
      <c r="AF24">
        <v>-99</v>
      </c>
      <c r="AG24" s="11"/>
      <c r="AH24" s="3"/>
      <c r="AI24" s="3"/>
      <c r="AJ24" s="3"/>
      <c r="AK24" s="16"/>
      <c r="AL24" s="3" t="str">
        <f t="shared" si="10"/>
        <v>Botswana</v>
      </c>
      <c r="AM24" s="46">
        <f t="shared" si="3"/>
        <v>1676.506189234303</v>
      </c>
      <c r="AN24" s="46">
        <f t="shared" si="4"/>
        <v>786.5485000000001</v>
      </c>
      <c r="AO24" s="14">
        <f>EXP(L24*12+20*M24+400*N24)</f>
        <v>12.987664209463917</v>
      </c>
      <c r="AP24" s="14">
        <f>EXP(M24*25+N24*25^2)/EXP(M24*5+N24*25)</f>
        <v>2.406082725590862</v>
      </c>
      <c r="AQ24" s="14">
        <f>EXP(L24*4)</f>
        <v>1.655329363157055</v>
      </c>
      <c r="AR24" s="14">
        <f>EXP(L24*8)</f>
        <v>2.7401153005299412</v>
      </c>
      <c r="AS24" t="s">
        <v>160</v>
      </c>
      <c r="AT24" s="15"/>
    </row>
    <row r="25" spans="1:46" ht="12.75">
      <c r="A25" s="3" t="s">
        <v>159</v>
      </c>
      <c r="B25" s="38" t="s">
        <v>278</v>
      </c>
      <c r="C25" s="38">
        <f t="shared" si="9"/>
        <v>68.62864409593743</v>
      </c>
      <c r="D25" s="3" t="s">
        <v>134</v>
      </c>
      <c r="E25" s="3">
        <v>1</v>
      </c>
      <c r="F25" s="3">
        <v>12</v>
      </c>
      <c r="G25" s="11"/>
      <c r="H25" s="3">
        <v>60091</v>
      </c>
      <c r="I25" s="3">
        <v>1979</v>
      </c>
      <c r="J25" s="3">
        <v>2</v>
      </c>
      <c r="K25" s="52">
        <v>2.318</v>
      </c>
      <c r="L25" s="80">
        <v>0.191</v>
      </c>
      <c r="M25" s="9">
        <v>0.069</v>
      </c>
      <c r="N25" s="56">
        <v>-0.00097</v>
      </c>
      <c r="O25" s="10">
        <f t="shared" si="11"/>
        <v>4.99140725765867</v>
      </c>
      <c r="P25">
        <v>11.6</v>
      </c>
      <c r="Q25">
        <v>1285</v>
      </c>
      <c r="R25">
        <v>61.21</v>
      </c>
      <c r="S25">
        <v>0.8282</v>
      </c>
      <c r="T25">
        <v>4908</v>
      </c>
      <c r="U25">
        <v>2790</v>
      </c>
      <c r="V25" s="20">
        <f t="shared" si="12"/>
        <v>0.5684596577017115</v>
      </c>
      <c r="W25" s="12">
        <v>1.4053754</v>
      </c>
      <c r="X25" s="13">
        <v>1980</v>
      </c>
      <c r="Y25">
        <f>T25</f>
        <v>4908</v>
      </c>
      <c r="Z25" s="16">
        <v>4.81</v>
      </c>
      <c r="AA25" s="75">
        <f>$AA$6</f>
        <v>20</v>
      </c>
      <c r="AB25" s="41">
        <f t="shared" si="2"/>
        <v>994.3778424912442</v>
      </c>
      <c r="AC25" s="3">
        <v>1</v>
      </c>
      <c r="AD25" s="48">
        <v>4</v>
      </c>
      <c r="AE25" s="48">
        <v>16.36</v>
      </c>
      <c r="AF25">
        <v>-99</v>
      </c>
      <c r="AG25" s="11"/>
      <c r="AH25" s="3"/>
      <c r="AI25" s="3"/>
      <c r="AJ25" s="3"/>
      <c r="AK25" s="16"/>
      <c r="AL25" s="3" t="str">
        <f t="shared" si="10"/>
        <v>Botswana</v>
      </c>
      <c r="AM25" s="46">
        <f t="shared" si="3"/>
        <v>994.3778424912442</v>
      </c>
      <c r="AN25" s="46">
        <f t="shared" si="4"/>
        <v>786.5485000000001</v>
      </c>
      <c r="AO25" s="82">
        <f>EXP(L25*12+20*M25+400*N25)</f>
        <v>26.68228868061366</v>
      </c>
      <c r="AP25" s="14">
        <f>EXP(M25*25+N25*25^2)/EXP(M25*5+N25*25)</f>
        <v>2.2210942947514343</v>
      </c>
      <c r="AQ25" s="14">
        <f>EXP(L25*4)</f>
        <v>2.146846454419676</v>
      </c>
      <c r="AR25" s="14">
        <f>EXP(L25*8)</f>
        <v>4.608949698854334</v>
      </c>
      <c r="AS25" t="s">
        <v>160</v>
      </c>
      <c r="AT25" s="15" t="s">
        <v>283</v>
      </c>
    </row>
    <row r="26" spans="1:47" ht="12.75">
      <c r="A26" s="3" t="s">
        <v>22</v>
      </c>
      <c r="B26" s="38">
        <v>10943</v>
      </c>
      <c r="C26" s="38">
        <f t="shared" si="9"/>
        <v>8404.488466239249</v>
      </c>
      <c r="D26" s="3" t="s">
        <v>134</v>
      </c>
      <c r="E26" s="3">
        <v>1</v>
      </c>
      <c r="F26" s="3">
        <v>12</v>
      </c>
      <c r="G26" s="11"/>
      <c r="H26" s="3">
        <v>30015</v>
      </c>
      <c r="I26" s="3">
        <v>1979</v>
      </c>
      <c r="J26" s="3">
        <v>1</v>
      </c>
      <c r="K26" s="52">
        <f>8.51-0.27*LN(53)</f>
        <v>7.438021183340927</v>
      </c>
      <c r="L26" s="71">
        <v>0.118</v>
      </c>
      <c r="M26" s="9">
        <v>0.07</v>
      </c>
      <c r="N26" s="56">
        <v>-0.0011</v>
      </c>
      <c r="O26" s="10">
        <f t="shared" si="11"/>
        <v>7.138534065439384</v>
      </c>
      <c r="P26">
        <v>25.9</v>
      </c>
      <c r="Q26">
        <v>2862</v>
      </c>
      <c r="R26">
        <v>66.39</v>
      </c>
      <c r="S26" s="75">
        <v>16.19</v>
      </c>
      <c r="T26">
        <v>11285</v>
      </c>
      <c r="U26">
        <v>-999.99</v>
      </c>
      <c r="V26" s="23">
        <f>$V$121+$V$122*T26</f>
        <v>0.8872869999999999</v>
      </c>
      <c r="W26" s="12">
        <v>1.8814192</v>
      </c>
      <c r="X26" s="13">
        <v>1980</v>
      </c>
      <c r="Y26">
        <v>11285</v>
      </c>
      <c r="Z26" s="16">
        <v>5.2</v>
      </c>
      <c r="AA26" s="32">
        <v>21</v>
      </c>
      <c r="AB26" s="41">
        <f t="shared" si="2"/>
        <v>6229.392315927792</v>
      </c>
      <c r="AC26" s="3">
        <v>1</v>
      </c>
      <c r="AD26" s="32">
        <v>75</v>
      </c>
      <c r="AE26" s="32">
        <v>23.07</v>
      </c>
      <c r="AF26">
        <v>-99</v>
      </c>
      <c r="AG26" s="11"/>
      <c r="AH26" s="3"/>
      <c r="AI26" s="3"/>
      <c r="AJ26" s="3">
        <v>53</v>
      </c>
      <c r="AK26" s="16"/>
      <c r="AL26" s="3" t="str">
        <f t="shared" si="10"/>
        <v>Brazil</v>
      </c>
      <c r="AM26" s="46">
        <f t="shared" si="3"/>
        <v>6229.392315927792</v>
      </c>
      <c r="AN26" s="46">
        <f t="shared" si="4"/>
        <v>1900.0818</v>
      </c>
      <c r="AO26" s="14">
        <f t="shared" si="5"/>
        <v>10.761769576561306</v>
      </c>
      <c r="AP26" s="14">
        <f t="shared" si="6"/>
        <v>2.095935514494365</v>
      </c>
      <c r="AQ26" s="14">
        <f t="shared" si="7"/>
        <v>1.603197383726574</v>
      </c>
      <c r="AR26" s="14">
        <f t="shared" si="8"/>
        <v>2.570241851187732</v>
      </c>
      <c r="AS26" t="s">
        <v>186</v>
      </c>
      <c r="AT26" s="3" t="s">
        <v>154</v>
      </c>
      <c r="AU26" t="s">
        <v>191</v>
      </c>
    </row>
    <row r="27" spans="1:46" ht="12.75">
      <c r="A27" s="3" t="s">
        <v>22</v>
      </c>
      <c r="B27" s="38">
        <v>6813</v>
      </c>
      <c r="C27" s="38">
        <f t="shared" si="9"/>
        <v>5420.837332460392</v>
      </c>
      <c r="D27" s="3" t="s">
        <v>134</v>
      </c>
      <c r="E27" s="3">
        <v>1</v>
      </c>
      <c r="F27" s="3">
        <v>12</v>
      </c>
      <c r="G27" s="11"/>
      <c r="H27" s="3">
        <v>30015</v>
      </c>
      <c r="I27" s="3">
        <v>1979</v>
      </c>
      <c r="J27" s="3">
        <v>2</v>
      </c>
      <c r="K27" s="52">
        <f>8.605-0.301*LN(47)</f>
        <v>7.446105571885273</v>
      </c>
      <c r="L27" s="71">
        <v>0.089</v>
      </c>
      <c r="M27" s="9">
        <v>0.053</v>
      </c>
      <c r="N27" s="56">
        <v>-0.0009</v>
      </c>
      <c r="O27" s="10">
        <f t="shared" si="11"/>
        <v>7.146618453983729</v>
      </c>
      <c r="P27">
        <v>25.9</v>
      </c>
      <c r="Q27">
        <v>2862</v>
      </c>
      <c r="R27">
        <v>66.39</v>
      </c>
      <c r="S27" s="75">
        <v>16.19</v>
      </c>
      <c r="T27">
        <v>11285</v>
      </c>
      <c r="U27">
        <v>-999.99</v>
      </c>
      <c r="V27" s="23">
        <f>$V$121+$V$122*T27</f>
        <v>0.8872869999999999</v>
      </c>
      <c r="W27" s="12">
        <v>1.8814192</v>
      </c>
      <c r="X27" s="13">
        <v>1980</v>
      </c>
      <c r="Y27">
        <v>11285</v>
      </c>
      <c r="Z27" s="16">
        <v>5.5</v>
      </c>
      <c r="AA27" s="32">
        <v>18</v>
      </c>
      <c r="AB27" s="41">
        <f t="shared" si="2"/>
        <v>4017.915255684045</v>
      </c>
      <c r="AC27" s="3">
        <v>1</v>
      </c>
      <c r="AD27" s="32">
        <v>75</v>
      </c>
      <c r="AE27" s="32">
        <v>23.07</v>
      </c>
      <c r="AF27">
        <v>-99</v>
      </c>
      <c r="AG27" s="11"/>
      <c r="AH27" s="3"/>
      <c r="AI27" s="3"/>
      <c r="AJ27" s="3">
        <v>47</v>
      </c>
      <c r="AK27" s="16"/>
      <c r="AL27" s="3" t="str">
        <f t="shared" si="10"/>
        <v>Brazil</v>
      </c>
      <c r="AM27" s="46">
        <f t="shared" si="3"/>
        <v>4017.915255684045</v>
      </c>
      <c r="AN27" s="46">
        <f t="shared" si="4"/>
        <v>1900.0818</v>
      </c>
      <c r="AO27" s="14">
        <f t="shared" si="5"/>
        <v>5.859123388542668</v>
      </c>
      <c r="AP27" s="14">
        <f t="shared" si="6"/>
        <v>1.6820276496988862</v>
      </c>
      <c r="AQ27" s="14">
        <f t="shared" si="7"/>
        <v>1.4276075482638448</v>
      </c>
      <c r="AR27" s="14">
        <f t="shared" si="8"/>
        <v>2.038063311859906</v>
      </c>
      <c r="AS27" t="s">
        <v>186</v>
      </c>
      <c r="AT27" s="3"/>
    </row>
    <row r="28" spans="1:46" ht="12.75">
      <c r="A28" s="3" t="s">
        <v>22</v>
      </c>
      <c r="B28" s="38">
        <v>7151</v>
      </c>
      <c r="C28" s="39">
        <f t="shared" si="9"/>
        <v>769.606105692091</v>
      </c>
      <c r="D28" s="3" t="s">
        <v>134</v>
      </c>
      <c r="E28" s="3">
        <v>1</v>
      </c>
      <c r="F28" s="3">
        <v>12</v>
      </c>
      <c r="G28" s="11"/>
      <c r="H28" s="3">
        <v>30015</v>
      </c>
      <c r="I28" s="3">
        <v>1989</v>
      </c>
      <c r="J28" s="3">
        <v>1</v>
      </c>
      <c r="K28" s="52">
        <f>3.567+0.31*LN(46)</f>
        <v>4.75387883291162</v>
      </c>
      <c r="L28" s="71">
        <v>0.154</v>
      </c>
      <c r="M28" s="9">
        <v>0.073</v>
      </c>
      <c r="N28" s="56">
        <v>-0.001</v>
      </c>
      <c r="O28" s="10">
        <f t="shared" si="11"/>
        <v>6.19660565502651</v>
      </c>
      <c r="P28" s="3">
        <v>23.2</v>
      </c>
      <c r="Q28" s="3">
        <v>4870</v>
      </c>
      <c r="R28" s="3">
        <v>62.92</v>
      </c>
      <c r="S28">
        <f>689/243</f>
        <v>2.8353909465020575</v>
      </c>
      <c r="T28" s="3">
        <v>11668</v>
      </c>
      <c r="U28" s="3">
        <v>-999.99</v>
      </c>
      <c r="V28" s="23">
        <f>$V$121+$V$122*T28</f>
        <v>0.8942576</v>
      </c>
      <c r="W28" s="12">
        <v>1.8814192</v>
      </c>
      <c r="X28" s="13">
        <v>1990</v>
      </c>
      <c r="Y28" s="3">
        <v>11668</v>
      </c>
      <c r="Z28" s="16">
        <v>5</v>
      </c>
      <c r="AA28" s="32">
        <v>22</v>
      </c>
      <c r="AB28" s="41">
        <f t="shared" si="2"/>
        <v>3257.142821767979</v>
      </c>
      <c r="AC28" s="3">
        <v>1</v>
      </c>
      <c r="AD28" s="32">
        <v>75</v>
      </c>
      <c r="AE28" s="32">
        <v>23.07</v>
      </c>
      <c r="AF28">
        <v>-99</v>
      </c>
      <c r="AG28" s="11"/>
      <c r="AH28" s="3"/>
      <c r="AI28" s="3"/>
      <c r="AJ28" s="3">
        <v>46</v>
      </c>
      <c r="AK28" s="16"/>
      <c r="AL28" s="3" t="str">
        <f t="shared" si="10"/>
        <v>Brazil</v>
      </c>
      <c r="AM28" s="46">
        <f t="shared" si="3"/>
        <v>3257.142821767979</v>
      </c>
      <c r="AN28" s="46">
        <f t="shared" si="4"/>
        <v>3064.204</v>
      </c>
      <c r="AO28" s="14">
        <f t="shared" si="5"/>
        <v>18.32012165901752</v>
      </c>
      <c r="AP28" s="14">
        <f t="shared" si="6"/>
        <v>2.3631606937057947</v>
      </c>
      <c r="AQ28" s="14">
        <f t="shared" si="7"/>
        <v>1.8515071812945383</v>
      </c>
      <c r="AR28" s="14">
        <f t="shared" si="8"/>
        <v>3.4280788423852466</v>
      </c>
      <c r="AS28" t="s">
        <v>186</v>
      </c>
      <c r="AT28" s="3"/>
    </row>
    <row r="29" spans="1:46" ht="12.75">
      <c r="A29" s="3" t="s">
        <v>22</v>
      </c>
      <c r="B29" s="38">
        <v>6640</v>
      </c>
      <c r="C29" s="39">
        <f t="shared" si="9"/>
        <v>416.38869185646377</v>
      </c>
      <c r="D29" s="3" t="s">
        <v>134</v>
      </c>
      <c r="E29" s="3">
        <v>1</v>
      </c>
      <c r="F29" s="3">
        <v>12</v>
      </c>
      <c r="G29" s="11"/>
      <c r="H29" s="3">
        <v>30015</v>
      </c>
      <c r="I29" s="3">
        <v>1989</v>
      </c>
      <c r="J29" s="3">
        <v>2</v>
      </c>
      <c r="K29" s="52">
        <f>2.314+0.595*LN(39)</f>
        <v>4.49381917944714</v>
      </c>
      <c r="L29" s="71">
        <v>0.142</v>
      </c>
      <c r="M29" s="9">
        <v>0.051</v>
      </c>
      <c r="N29" s="56">
        <v>-0.0008</v>
      </c>
      <c r="O29" s="10">
        <f t="shared" si="11"/>
        <v>5.93654600156203</v>
      </c>
      <c r="P29" s="3">
        <v>23.2</v>
      </c>
      <c r="Q29" s="3">
        <v>4870</v>
      </c>
      <c r="R29" s="3">
        <v>62.92</v>
      </c>
      <c r="S29">
        <f>689/243</f>
        <v>2.8353909465020575</v>
      </c>
      <c r="T29" s="3">
        <v>11668</v>
      </c>
      <c r="U29" s="3">
        <v>-999.99</v>
      </c>
      <c r="V29" s="23">
        <f>$V$121+$V$122*T29</f>
        <v>0.8942576</v>
      </c>
      <c r="W29" s="12">
        <v>1.8814192</v>
      </c>
      <c r="X29" s="13">
        <v>1990</v>
      </c>
      <c r="Y29" s="3">
        <v>11668</v>
      </c>
      <c r="Z29" s="16">
        <v>5.9</v>
      </c>
      <c r="AA29" s="32">
        <v>20</v>
      </c>
      <c r="AB29" s="41">
        <f t="shared" si="2"/>
        <v>1762.2488032706076</v>
      </c>
      <c r="AC29" s="3">
        <v>1</v>
      </c>
      <c r="AD29" s="32">
        <v>75</v>
      </c>
      <c r="AE29" s="32">
        <v>23.07</v>
      </c>
      <c r="AF29">
        <v>-99</v>
      </c>
      <c r="AG29" s="11"/>
      <c r="AH29" s="3"/>
      <c r="AI29" s="3"/>
      <c r="AJ29" s="3">
        <v>39</v>
      </c>
      <c r="AK29" s="16"/>
      <c r="AL29" s="3" t="str">
        <f t="shared" si="10"/>
        <v>Brazil</v>
      </c>
      <c r="AM29" s="46">
        <f t="shared" si="3"/>
        <v>1762.2488032706076</v>
      </c>
      <c r="AN29" s="46">
        <f t="shared" si="4"/>
        <v>3064.204</v>
      </c>
      <c r="AO29" s="14">
        <f t="shared" si="5"/>
        <v>11.067357389273434</v>
      </c>
      <c r="AP29" s="14">
        <f t="shared" si="6"/>
        <v>1.7160068621848583</v>
      </c>
      <c r="AQ29" s="14">
        <f t="shared" si="7"/>
        <v>1.7647340515084595</v>
      </c>
      <c r="AR29" s="14">
        <f t="shared" si="8"/>
        <v>3.114286272553462</v>
      </c>
      <c r="AS29" t="s">
        <v>186</v>
      </c>
      <c r="AT29" s="3"/>
    </row>
    <row r="30" spans="1:46" ht="12.75">
      <c r="A30" s="3" t="s">
        <v>100</v>
      </c>
      <c r="B30" s="38">
        <v>24219</v>
      </c>
      <c r="C30" s="38">
        <f t="shared" si="9"/>
        <v>23328.694783309074</v>
      </c>
      <c r="D30" s="3" t="s">
        <v>101</v>
      </c>
      <c r="E30" s="3">
        <v>1</v>
      </c>
      <c r="F30" s="3">
        <v>1</v>
      </c>
      <c r="G30" s="11"/>
      <c r="H30" s="3">
        <v>15000</v>
      </c>
      <c r="I30" s="3">
        <v>1981</v>
      </c>
      <c r="J30" s="3">
        <v>1</v>
      </c>
      <c r="K30" s="52">
        <v>8.996</v>
      </c>
      <c r="L30" s="71">
        <v>0.052</v>
      </c>
      <c r="M30" s="9">
        <v>0.03</v>
      </c>
      <c r="N30" s="56">
        <v>-0.000539</v>
      </c>
      <c r="O30" s="10">
        <f>K30-LN(S30)+LN(F30)</f>
        <v>8.814512123954623</v>
      </c>
      <c r="P30">
        <v>94.8</v>
      </c>
      <c r="Q30">
        <v>12498</v>
      </c>
      <c r="R30">
        <v>96.91</v>
      </c>
      <c r="S30">
        <v>1.199</v>
      </c>
      <c r="T30">
        <v>29481</v>
      </c>
      <c r="U30">
        <v>30223</v>
      </c>
      <c r="V30" s="20">
        <f>U30/T30</f>
        <v>1.0251687527560123</v>
      </c>
      <c r="W30" s="12">
        <v>2.3786465</v>
      </c>
      <c r="X30" s="13">
        <v>1980</v>
      </c>
      <c r="Y30">
        <v>29191</v>
      </c>
      <c r="Z30" s="16">
        <v>13.2</v>
      </c>
      <c r="AA30" s="32">
        <v>18.96</v>
      </c>
      <c r="AB30" s="41">
        <f t="shared" si="2"/>
        <v>19456.792980241094</v>
      </c>
      <c r="AC30" s="3">
        <v>1</v>
      </c>
      <c r="AD30" s="32">
        <v>54</v>
      </c>
      <c r="AE30" s="3">
        <v>5.54</v>
      </c>
      <c r="AF30">
        <v>13.79</v>
      </c>
      <c r="AG30" s="11"/>
      <c r="AH30" s="3"/>
      <c r="AI30" s="3"/>
      <c r="AJ30" s="3"/>
      <c r="AK30" s="16"/>
      <c r="AL30" s="3" t="str">
        <f t="shared" si="10"/>
        <v>Canada</v>
      </c>
      <c r="AM30" s="46">
        <f t="shared" si="3"/>
        <v>19456.792980241094</v>
      </c>
      <c r="AN30" s="46">
        <f t="shared" si="4"/>
        <v>12111.8118</v>
      </c>
      <c r="AO30" s="14">
        <f t="shared" si="5"/>
        <v>2.741211565888608</v>
      </c>
      <c r="AP30" s="14">
        <f t="shared" si="6"/>
        <v>1.318638810005785</v>
      </c>
      <c r="AQ30" s="14">
        <f t="shared" si="7"/>
        <v>1.2312131695488677</v>
      </c>
      <c r="AR30" s="14">
        <f t="shared" si="8"/>
        <v>1.515885868870569</v>
      </c>
      <c r="AS30" t="s">
        <v>102</v>
      </c>
      <c r="AT30" s="3"/>
    </row>
    <row r="31" spans="1:46" ht="12.75">
      <c r="A31" s="3" t="s">
        <v>137</v>
      </c>
      <c r="B31" s="38">
        <v>43878</v>
      </c>
      <c r="C31" s="38">
        <f t="shared" si="9"/>
        <v>33903.799826939634</v>
      </c>
      <c r="D31" s="3" t="s">
        <v>134</v>
      </c>
      <c r="E31" s="3">
        <v>1</v>
      </c>
      <c r="F31" s="3">
        <v>12</v>
      </c>
      <c r="G31" s="11"/>
      <c r="H31" s="3">
        <v>30020</v>
      </c>
      <c r="I31" s="3">
        <v>1989</v>
      </c>
      <c r="J31" s="3">
        <v>1</v>
      </c>
      <c r="K31" s="52">
        <f>5.652+0.768*LN(48)</f>
        <v>8.62508237637726</v>
      </c>
      <c r="L31" s="71">
        <v>0.121</v>
      </c>
      <c r="M31" s="9">
        <v>0.048</v>
      </c>
      <c r="N31" s="56">
        <v>-0.0005</v>
      </c>
      <c r="O31" s="10">
        <f>K31-LN(S31)+LN(F31)</f>
        <v>5.521991584502771</v>
      </c>
      <c r="P31">
        <v>24.5</v>
      </c>
      <c r="Q31">
        <v>5134</v>
      </c>
      <c r="R31">
        <v>42.2</v>
      </c>
      <c r="S31">
        <v>267.2</v>
      </c>
      <c r="T31">
        <v>11986</v>
      </c>
      <c r="U31">
        <v>8433</v>
      </c>
      <c r="V31" s="20">
        <f>U31/T31</f>
        <v>0.7035708326380777</v>
      </c>
      <c r="W31" s="12">
        <v>2.23063</v>
      </c>
      <c r="X31" s="13">
        <v>1990</v>
      </c>
      <c r="Y31">
        <v>11986</v>
      </c>
      <c r="Z31" s="16">
        <v>8.2</v>
      </c>
      <c r="AA31" s="32">
        <v>22</v>
      </c>
      <c r="AB31" s="41">
        <f t="shared" si="2"/>
        <v>1522.6257407308221</v>
      </c>
      <c r="AC31" s="3">
        <v>1</v>
      </c>
      <c r="AD31" s="32">
        <v>76</v>
      </c>
      <c r="AE31" s="3">
        <v>14.48</v>
      </c>
      <c r="AF31">
        <v>-99</v>
      </c>
      <c r="AG31" s="11"/>
      <c r="AH31" s="3"/>
      <c r="AI31" s="3"/>
      <c r="AJ31" s="3">
        <v>48</v>
      </c>
      <c r="AK31" s="16"/>
      <c r="AL31" s="3" t="str">
        <f t="shared" si="10"/>
        <v>Chile</v>
      </c>
      <c r="AM31" s="46">
        <f t="shared" si="3"/>
        <v>1522.6257407308221</v>
      </c>
      <c r="AN31" s="46">
        <f t="shared" si="4"/>
        <v>2166.5480000000002</v>
      </c>
      <c r="AO31" s="14">
        <f t="shared" si="5"/>
        <v>9.133966069419538</v>
      </c>
      <c r="AP31" s="14">
        <f t="shared" si="6"/>
        <v>1.9347923344020312</v>
      </c>
      <c r="AQ31" s="14">
        <f t="shared" si="7"/>
        <v>1.6225516456522613</v>
      </c>
      <c r="AR31" s="14">
        <f t="shared" si="8"/>
        <v>2.6326738428088614</v>
      </c>
      <c r="AS31" t="s">
        <v>186</v>
      </c>
      <c r="AT31" s="3"/>
    </row>
    <row r="32" spans="1:46" ht="12.75">
      <c r="A32" s="3" t="s">
        <v>137</v>
      </c>
      <c r="B32" s="38">
        <v>31373</v>
      </c>
      <c r="C32" s="38">
        <f t="shared" si="9"/>
        <v>23886.74505766463</v>
      </c>
      <c r="D32" s="3" t="s">
        <v>134</v>
      </c>
      <c r="E32" s="3">
        <v>1</v>
      </c>
      <c r="F32" s="3">
        <v>12</v>
      </c>
      <c r="G32" s="11"/>
      <c r="H32" s="3">
        <v>30020</v>
      </c>
      <c r="I32" s="3">
        <v>1989</v>
      </c>
      <c r="J32" s="3">
        <v>2</v>
      </c>
      <c r="K32" s="52">
        <f>5.487+0.754*LN(44)</f>
        <v>8.340278983974368</v>
      </c>
      <c r="L32" s="71">
        <v>0.132</v>
      </c>
      <c r="M32" s="9">
        <v>0.029</v>
      </c>
      <c r="N32" s="56">
        <v>-0.0002</v>
      </c>
      <c r="O32" s="10">
        <f>K32-LN(S32)+LN(F32)</f>
        <v>5.237188192099879</v>
      </c>
      <c r="P32">
        <v>24.5</v>
      </c>
      <c r="Q32">
        <v>5134</v>
      </c>
      <c r="R32">
        <v>42.2</v>
      </c>
      <c r="S32">
        <v>267.2</v>
      </c>
      <c r="T32">
        <v>11986</v>
      </c>
      <c r="U32">
        <v>8433</v>
      </c>
      <c r="V32" s="20">
        <f>U32/T32</f>
        <v>0.7035708326380777</v>
      </c>
      <c r="W32" s="12">
        <v>2.23063</v>
      </c>
      <c r="X32" s="13">
        <v>1990</v>
      </c>
      <c r="Y32">
        <v>11986</v>
      </c>
      <c r="Z32" s="16">
        <v>9.4</v>
      </c>
      <c r="AA32" s="32">
        <v>20</v>
      </c>
      <c r="AB32" s="41">
        <f t="shared" si="2"/>
        <v>1072.7580115717658</v>
      </c>
      <c r="AC32" s="3">
        <v>1</v>
      </c>
      <c r="AD32" s="32">
        <v>76</v>
      </c>
      <c r="AE32" s="3">
        <v>14.48</v>
      </c>
      <c r="AF32">
        <v>-99</v>
      </c>
      <c r="AG32" s="11"/>
      <c r="AH32" s="3"/>
      <c r="AI32" s="3"/>
      <c r="AJ32" s="3">
        <v>44</v>
      </c>
      <c r="AK32" s="16"/>
      <c r="AL32" s="3" t="str">
        <f t="shared" si="10"/>
        <v>Chile</v>
      </c>
      <c r="AM32" s="46">
        <f t="shared" si="3"/>
        <v>1072.7580115717658</v>
      </c>
      <c r="AN32" s="46">
        <f t="shared" si="4"/>
        <v>2166.5480000000002</v>
      </c>
      <c r="AO32" s="14">
        <f t="shared" si="5"/>
        <v>8.036550911171304</v>
      </c>
      <c r="AP32" s="14">
        <f t="shared" si="6"/>
        <v>1.5840739849944818</v>
      </c>
      <c r="AQ32" s="14">
        <f t="shared" si="7"/>
        <v>1.69553783960182</v>
      </c>
      <c r="AR32" s="14">
        <f t="shared" si="8"/>
        <v>2.874848565521607</v>
      </c>
      <c r="AS32" t="s">
        <v>186</v>
      </c>
      <c r="AT32" s="3"/>
    </row>
    <row r="33" spans="1:46" ht="12.75">
      <c r="A33" s="3" t="s">
        <v>45</v>
      </c>
      <c r="B33" s="38">
        <v>75.6</v>
      </c>
      <c r="C33" s="38">
        <f t="shared" si="9"/>
        <v>73.93601078519961</v>
      </c>
      <c r="D33" s="3" t="s">
        <v>46</v>
      </c>
      <c r="E33" s="3">
        <v>1</v>
      </c>
      <c r="F33" s="3">
        <v>12</v>
      </c>
      <c r="G33" s="11"/>
      <c r="H33" s="3">
        <v>50000</v>
      </c>
      <c r="I33" s="3">
        <v>1985</v>
      </c>
      <c r="J33" s="3">
        <v>1</v>
      </c>
      <c r="K33" s="52">
        <v>3.45</v>
      </c>
      <c r="L33" s="71">
        <v>0.045</v>
      </c>
      <c r="M33" s="9">
        <v>0.019</v>
      </c>
      <c r="N33" s="56">
        <v>0</v>
      </c>
      <c r="O33" s="10">
        <f>K33-LN(S33)+LN(F33)</f>
        <v>4.85649706843741</v>
      </c>
      <c r="P33" s="3">
        <v>7.6</v>
      </c>
      <c r="Q33" s="3">
        <v>1262</v>
      </c>
      <c r="R33" s="3">
        <v>26.87</v>
      </c>
      <c r="S33" s="9">
        <v>2.94</v>
      </c>
      <c r="T33">
        <v>2166</v>
      </c>
      <c r="U33" s="3">
        <v>-999.99</v>
      </c>
      <c r="V33" s="23">
        <f>$V$121+$V$122*T33</f>
        <v>0.7213212</v>
      </c>
      <c r="W33" s="12">
        <v>1.6314547</v>
      </c>
      <c r="X33" s="13">
        <v>1990</v>
      </c>
      <c r="Y33">
        <v>2251</v>
      </c>
      <c r="Z33" s="16">
        <v>8.7</v>
      </c>
      <c r="AA33" s="32">
        <v>24.3</v>
      </c>
      <c r="AB33" s="41">
        <f t="shared" si="2"/>
        <v>301.77963585795715</v>
      </c>
      <c r="AC33" s="3">
        <v>1</v>
      </c>
      <c r="AD33" s="32">
        <v>88</v>
      </c>
      <c r="AE33" s="3">
        <v>5.17</v>
      </c>
      <c r="AF33">
        <v>-99</v>
      </c>
      <c r="AG33" s="11"/>
      <c r="AH33" s="3"/>
      <c r="AI33" s="3"/>
      <c r="AJ33" s="3"/>
      <c r="AK33" s="16"/>
      <c r="AL33" s="3" t="str">
        <f t="shared" si="10"/>
        <v>China</v>
      </c>
      <c r="AM33" s="46">
        <f t="shared" si="3"/>
        <v>301.77963585795715</v>
      </c>
      <c r="AN33" s="46">
        <f t="shared" si="4"/>
        <v>339.0994</v>
      </c>
      <c r="AO33" s="14">
        <f t="shared" si="5"/>
        <v>2.509290389936298</v>
      </c>
      <c r="AP33" s="14">
        <f t="shared" si="6"/>
        <v>1.4622845894342247</v>
      </c>
      <c r="AQ33" s="14">
        <f t="shared" si="7"/>
        <v>1.1972173631218102</v>
      </c>
      <c r="AR33" s="14">
        <f t="shared" si="8"/>
        <v>1.4333294145603401</v>
      </c>
      <c r="AS33" s="3" t="s">
        <v>47</v>
      </c>
      <c r="AT33" s="3"/>
    </row>
    <row r="34" spans="1:46" ht="12.75">
      <c r="A34" s="3" t="s">
        <v>45</v>
      </c>
      <c r="B34" s="38">
        <v>63.47</v>
      </c>
      <c r="C34" s="38">
        <f t="shared" si="9"/>
        <v>54.249837661427044</v>
      </c>
      <c r="D34" s="3" t="s">
        <v>46</v>
      </c>
      <c r="E34" s="3">
        <v>1</v>
      </c>
      <c r="F34" s="3">
        <v>12</v>
      </c>
      <c r="G34" s="11"/>
      <c r="H34" s="3">
        <v>50000</v>
      </c>
      <c r="I34" s="3">
        <v>1985</v>
      </c>
      <c r="J34" s="3">
        <v>2</v>
      </c>
      <c r="K34" s="52">
        <v>3.45</v>
      </c>
      <c r="L34" s="71">
        <v>0.056</v>
      </c>
      <c r="M34" s="9">
        <v>0.004</v>
      </c>
      <c r="N34" s="56">
        <v>0</v>
      </c>
      <c r="O34" s="10">
        <f>K34-LN(S34)+LN(F34)</f>
        <v>4.85649706843741</v>
      </c>
      <c r="P34" s="3">
        <v>7.6</v>
      </c>
      <c r="Q34" s="3">
        <v>1262</v>
      </c>
      <c r="R34" s="3">
        <v>26.87</v>
      </c>
      <c r="S34" s="9">
        <v>2.94</v>
      </c>
      <c r="T34">
        <v>2166</v>
      </c>
      <c r="U34" s="3">
        <v>-999.99</v>
      </c>
      <c r="V34" s="23">
        <f>$V$121+$V$122*T34</f>
        <v>0.7213212</v>
      </c>
      <c r="W34" s="12">
        <v>1.6314547</v>
      </c>
      <c r="X34" s="13">
        <v>1990</v>
      </c>
      <c r="Y34">
        <v>2251</v>
      </c>
      <c r="Z34" s="16">
        <v>8.3</v>
      </c>
      <c r="AA34" s="32">
        <v>19.7</v>
      </c>
      <c r="AB34" s="41">
        <f t="shared" si="2"/>
        <v>221.42790882215115</v>
      </c>
      <c r="AC34" s="3">
        <v>1</v>
      </c>
      <c r="AD34" s="32">
        <v>88</v>
      </c>
      <c r="AE34" s="3">
        <v>5.17</v>
      </c>
      <c r="AF34">
        <v>-99</v>
      </c>
      <c r="AG34" s="11"/>
      <c r="AH34" s="3"/>
      <c r="AI34" s="3"/>
      <c r="AJ34" s="3"/>
      <c r="AK34" s="16"/>
      <c r="AL34" s="3" t="str">
        <f t="shared" si="10"/>
        <v>China</v>
      </c>
      <c r="AM34" s="46">
        <f t="shared" si="3"/>
        <v>221.42790882215115</v>
      </c>
      <c r="AN34" s="46">
        <f t="shared" si="4"/>
        <v>339.0994</v>
      </c>
      <c r="AO34" s="14">
        <f t="shared" si="5"/>
        <v>2.121238253470012</v>
      </c>
      <c r="AP34" s="14">
        <f t="shared" si="6"/>
        <v>1.0832870676749586</v>
      </c>
      <c r="AQ34" s="14">
        <f t="shared" si="7"/>
        <v>1.2510710194283623</v>
      </c>
      <c r="AR34" s="14">
        <f t="shared" si="8"/>
        <v>1.5651786956535216</v>
      </c>
      <c r="AS34" s="3" t="s">
        <v>47</v>
      </c>
      <c r="AT34" s="3"/>
    </row>
    <row r="35" spans="1:46" ht="12.75">
      <c r="A35" t="s">
        <v>21</v>
      </c>
      <c r="B35" s="40">
        <v>10124</v>
      </c>
      <c r="C35" s="38">
        <f t="shared" si="9"/>
        <v>6472.055843283196</v>
      </c>
      <c r="D35" s="3" t="s">
        <v>46</v>
      </c>
      <c r="E35">
        <v>1</v>
      </c>
      <c r="F35">
        <v>12</v>
      </c>
      <c r="G35" s="11"/>
      <c r="H35">
        <v>30025</v>
      </c>
      <c r="I35">
        <v>1980</v>
      </c>
      <c r="J35">
        <v>1</v>
      </c>
      <c r="K35" s="51">
        <f>4.668+0.395*LN(50)</f>
        <v>6.213249087144118</v>
      </c>
      <c r="L35" s="70">
        <v>0.186</v>
      </c>
      <c r="M35" s="12">
        <v>0.081</v>
      </c>
      <c r="N35" s="55">
        <v>-0.001</v>
      </c>
      <c r="O35" s="10">
        <f aca="true" t="shared" si="13" ref="O35:O48">K35-LN(S35)+LN(F35)</f>
        <v>4.842068363834276</v>
      </c>
      <c r="P35">
        <v>19.3</v>
      </c>
      <c r="Q35">
        <v>2299</v>
      </c>
      <c r="R35">
        <v>54.78</v>
      </c>
      <c r="S35" s="3">
        <v>47.28</v>
      </c>
      <c r="T35">
        <v>9504</v>
      </c>
      <c r="U35">
        <v>11800</v>
      </c>
      <c r="V35" s="20">
        <f>U35/T35</f>
        <v>1.2415824915824916</v>
      </c>
      <c r="W35" s="12">
        <v>1.6190083</v>
      </c>
      <c r="X35" s="13">
        <v>1980</v>
      </c>
      <c r="Y35">
        <v>9315</v>
      </c>
      <c r="Z35" s="16">
        <v>7</v>
      </c>
      <c r="AA35" s="32">
        <v>21</v>
      </c>
      <c r="AB35" s="41">
        <f t="shared" si="2"/>
        <v>1642.653767330761</v>
      </c>
      <c r="AC35" s="26">
        <v>0</v>
      </c>
      <c r="AD35" s="48">
        <v>77</v>
      </c>
      <c r="AE35" s="48">
        <v>13.94</v>
      </c>
      <c r="AF35">
        <v>-99</v>
      </c>
      <c r="AG35" s="11"/>
      <c r="AH35" s="3"/>
      <c r="AI35" s="3"/>
      <c r="AJ35" s="3">
        <v>50</v>
      </c>
      <c r="AK35" s="16"/>
      <c r="AL35" s="3" t="str">
        <f t="shared" si="10"/>
        <v>Colombia</v>
      </c>
      <c r="AM35" s="46">
        <f t="shared" si="3"/>
        <v>1642.653767330761</v>
      </c>
      <c r="AN35" s="46">
        <f t="shared" si="4"/>
        <v>1259.3922</v>
      </c>
      <c r="AO35" s="30">
        <f t="shared" si="5"/>
        <v>31.563456136171588</v>
      </c>
      <c r="AP35" s="14">
        <f t="shared" si="6"/>
        <v>2.773194763964298</v>
      </c>
      <c r="AQ35" s="14">
        <f t="shared" si="7"/>
        <v>2.104336046415478</v>
      </c>
      <c r="AR35" s="14">
        <f t="shared" si="8"/>
        <v>4.428230196243525</v>
      </c>
      <c r="AS35" t="s">
        <v>186</v>
      </c>
      <c r="AT35" s="29" t="s">
        <v>272</v>
      </c>
    </row>
    <row r="36" spans="1:45" ht="12.75">
      <c r="A36" t="s">
        <v>21</v>
      </c>
      <c r="B36" s="40">
        <v>5626</v>
      </c>
      <c r="C36" s="38">
        <f t="shared" si="9"/>
        <v>3938.3852598969056</v>
      </c>
      <c r="D36" s="3" t="s">
        <v>46</v>
      </c>
      <c r="E36">
        <v>1</v>
      </c>
      <c r="F36">
        <v>12</v>
      </c>
      <c r="G36" s="11"/>
      <c r="H36">
        <v>30025</v>
      </c>
      <c r="I36">
        <v>1980</v>
      </c>
      <c r="J36">
        <v>2</v>
      </c>
      <c r="K36" s="51">
        <f>4.299+0.577*LN(46)</f>
        <v>6.508126085774208</v>
      </c>
      <c r="L36" s="70">
        <v>0.173</v>
      </c>
      <c r="M36" s="12">
        <v>0.042</v>
      </c>
      <c r="N36" s="55">
        <v>-0.0005</v>
      </c>
      <c r="O36" s="10">
        <f t="shared" si="13"/>
        <v>5.136945362464365</v>
      </c>
      <c r="P36">
        <v>19.3</v>
      </c>
      <c r="Q36">
        <v>2299</v>
      </c>
      <c r="R36">
        <v>54.78</v>
      </c>
      <c r="S36" s="3">
        <v>47.28</v>
      </c>
      <c r="T36">
        <v>9504</v>
      </c>
      <c r="U36">
        <v>11800</v>
      </c>
      <c r="V36" s="20">
        <f>U36/T36</f>
        <v>1.2415824915824916</v>
      </c>
      <c r="W36" s="12">
        <v>1.6190083</v>
      </c>
      <c r="X36" s="13">
        <v>1980</v>
      </c>
      <c r="Y36">
        <v>9315</v>
      </c>
      <c r="Z36" s="16">
        <v>6.8</v>
      </c>
      <c r="AA36" s="32">
        <v>18</v>
      </c>
      <c r="AB36" s="41">
        <f t="shared" si="2"/>
        <v>999.5901674865255</v>
      </c>
      <c r="AC36" s="26">
        <v>1</v>
      </c>
      <c r="AD36" s="48">
        <v>77</v>
      </c>
      <c r="AE36" s="48">
        <v>13.94</v>
      </c>
      <c r="AF36">
        <v>-99</v>
      </c>
      <c r="AG36" s="11"/>
      <c r="AH36" s="3"/>
      <c r="AI36" s="3"/>
      <c r="AJ36" s="3">
        <v>46</v>
      </c>
      <c r="AK36" s="16"/>
      <c r="AL36" s="3" t="str">
        <f t="shared" si="10"/>
        <v>Colombia</v>
      </c>
      <c r="AM36" s="46">
        <f t="shared" si="3"/>
        <v>999.5901674865255</v>
      </c>
      <c r="AN36" s="46">
        <f t="shared" si="4"/>
        <v>1259.3922</v>
      </c>
      <c r="AO36" s="14">
        <f t="shared" si="5"/>
        <v>15.119722236790386</v>
      </c>
      <c r="AP36" s="14">
        <f t="shared" si="6"/>
        <v>1.7160068621848585</v>
      </c>
      <c r="AQ36" s="14">
        <f t="shared" si="7"/>
        <v>1.997706954400252</v>
      </c>
      <c r="AR36" s="14">
        <f t="shared" si="8"/>
        <v>3.9908330756591304</v>
      </c>
      <c r="AS36" t="s">
        <v>186</v>
      </c>
    </row>
    <row r="37" spans="1:45" ht="12.75">
      <c r="A37" t="s">
        <v>21</v>
      </c>
      <c r="B37" s="40">
        <v>60592</v>
      </c>
      <c r="C37" s="38">
        <f t="shared" si="9"/>
        <v>45263.029223530095</v>
      </c>
      <c r="D37" s="3" t="s">
        <v>46</v>
      </c>
      <c r="E37">
        <v>1</v>
      </c>
      <c r="F37">
        <v>12</v>
      </c>
      <c r="G37" s="11"/>
      <c r="H37">
        <v>30025</v>
      </c>
      <c r="I37">
        <v>1989</v>
      </c>
      <c r="J37">
        <v>1</v>
      </c>
      <c r="K37" s="51">
        <f>6.897+0.428*LN(50)</f>
        <v>8.571345846323247</v>
      </c>
      <c r="L37" s="70">
        <v>0.145</v>
      </c>
      <c r="M37" s="12">
        <v>0.059</v>
      </c>
      <c r="N37" s="55">
        <v>-0.0006</v>
      </c>
      <c r="O37" s="10">
        <f t="shared" si="13"/>
        <v>5.109262439105095</v>
      </c>
      <c r="P37">
        <v>17.9</v>
      </c>
      <c r="Q37">
        <v>3759</v>
      </c>
      <c r="R37">
        <v>33.13</v>
      </c>
      <c r="S37" s="3">
        <v>382.6</v>
      </c>
      <c r="T37">
        <v>10104</v>
      </c>
      <c r="U37">
        <v>12572</v>
      </c>
      <c r="V37" s="20">
        <f>U37/T37</f>
        <v>1.2442596991290578</v>
      </c>
      <c r="W37" s="12">
        <v>1.6190083</v>
      </c>
      <c r="X37" s="13">
        <v>1990</v>
      </c>
      <c r="Y37">
        <v>10104</v>
      </c>
      <c r="Z37" s="16">
        <v>8.1</v>
      </c>
      <c r="AA37" s="32">
        <v>21</v>
      </c>
      <c r="AB37" s="41">
        <f t="shared" si="2"/>
        <v>1419.645453952853</v>
      </c>
      <c r="AC37" s="3">
        <v>1</v>
      </c>
      <c r="AD37" s="48">
        <v>77</v>
      </c>
      <c r="AE37" s="48">
        <v>13.94</v>
      </c>
      <c r="AF37">
        <v>12.08</v>
      </c>
      <c r="AG37" s="11"/>
      <c r="AH37" s="3"/>
      <c r="AI37" s="3"/>
      <c r="AJ37" s="3">
        <v>50</v>
      </c>
      <c r="AK37" s="16"/>
      <c r="AL37" s="3" t="str">
        <f t="shared" si="10"/>
        <v>Colombia</v>
      </c>
      <c r="AM37" s="46">
        <f t="shared" si="3"/>
        <v>1419.645453952853</v>
      </c>
      <c r="AN37" s="46">
        <f t="shared" si="4"/>
        <v>1245.3567</v>
      </c>
      <c r="AO37" s="14">
        <f t="shared" si="5"/>
        <v>14.585093295880785</v>
      </c>
      <c r="AP37" s="14">
        <f t="shared" si="6"/>
        <v>2.2704998375324053</v>
      </c>
      <c r="AQ37" s="14">
        <f t="shared" si="7"/>
        <v>1.7860384307500734</v>
      </c>
      <c r="AR37" s="14">
        <f t="shared" si="8"/>
        <v>3.1899332761161845</v>
      </c>
      <c r="AS37" t="s">
        <v>186</v>
      </c>
    </row>
    <row r="38" spans="1:45" ht="12.75">
      <c r="A38" t="s">
        <v>21</v>
      </c>
      <c r="B38" s="40">
        <v>43124</v>
      </c>
      <c r="C38" s="38">
        <f t="shared" si="9"/>
        <v>33924.514176193785</v>
      </c>
      <c r="D38" s="3" t="s">
        <v>46</v>
      </c>
      <c r="E38">
        <v>1</v>
      </c>
      <c r="F38">
        <v>12</v>
      </c>
      <c r="G38" s="11"/>
      <c r="H38">
        <v>30025</v>
      </c>
      <c r="I38">
        <v>1989</v>
      </c>
      <c r="J38">
        <v>2</v>
      </c>
      <c r="K38" s="51">
        <f>6.108+0.719*LN(46)</f>
        <v>8.860793164075659</v>
      </c>
      <c r="L38" s="70">
        <v>0.129</v>
      </c>
      <c r="M38" s="12">
        <v>0.035</v>
      </c>
      <c r="N38" s="55">
        <v>-0.0004</v>
      </c>
      <c r="O38" s="10">
        <f t="shared" si="13"/>
        <v>5.398709756857507</v>
      </c>
      <c r="P38">
        <v>17.9</v>
      </c>
      <c r="Q38">
        <v>3759</v>
      </c>
      <c r="R38">
        <v>33.13</v>
      </c>
      <c r="S38" s="3">
        <v>382.6</v>
      </c>
      <c r="T38">
        <v>10104</v>
      </c>
      <c r="U38">
        <v>12572</v>
      </c>
      <c r="V38" s="20">
        <f>U38/T38</f>
        <v>1.2442596991290578</v>
      </c>
      <c r="W38" s="12">
        <v>1.6190083</v>
      </c>
      <c r="X38" s="13">
        <v>1990</v>
      </c>
      <c r="Y38">
        <v>10104</v>
      </c>
      <c r="Z38" s="16">
        <v>8.3</v>
      </c>
      <c r="AA38" s="32">
        <v>18</v>
      </c>
      <c r="AB38" s="41">
        <f t="shared" si="2"/>
        <v>1064.0203087149112</v>
      </c>
      <c r="AC38" s="3">
        <v>1</v>
      </c>
      <c r="AD38" s="48">
        <v>77</v>
      </c>
      <c r="AE38" s="48">
        <v>13.94</v>
      </c>
      <c r="AF38">
        <v>-99</v>
      </c>
      <c r="AG38" s="11"/>
      <c r="AH38" s="3"/>
      <c r="AI38" s="3"/>
      <c r="AJ38" s="3">
        <v>46</v>
      </c>
      <c r="AK38" s="16"/>
      <c r="AL38" s="3" t="str">
        <f t="shared" si="10"/>
        <v>Colombia</v>
      </c>
      <c r="AM38" s="46">
        <f t="shared" si="3"/>
        <v>1064.0203087149112</v>
      </c>
      <c r="AN38" s="46">
        <f t="shared" si="4"/>
        <v>1245.3567</v>
      </c>
      <c r="AO38" s="14">
        <f t="shared" si="5"/>
        <v>8.06876149303228</v>
      </c>
      <c r="AP38" s="14">
        <f t="shared" si="6"/>
        <v>1.5840739849944818</v>
      </c>
      <c r="AQ38" s="14">
        <f t="shared" si="7"/>
        <v>1.6753129773975874</v>
      </c>
      <c r="AR38" s="14">
        <f t="shared" si="8"/>
        <v>2.8066735722367695</v>
      </c>
      <c r="AS38" t="s">
        <v>186</v>
      </c>
    </row>
    <row r="39" spans="1:46" ht="12.75">
      <c r="A39" t="s">
        <v>138</v>
      </c>
      <c r="B39" s="40">
        <v>1990</v>
      </c>
      <c r="C39" s="38">
        <f t="shared" si="9"/>
        <v>1783.7132808093857</v>
      </c>
      <c r="D39" t="s">
        <v>134</v>
      </c>
      <c r="E39">
        <v>1</v>
      </c>
      <c r="F39">
        <v>12</v>
      </c>
      <c r="G39" s="11"/>
      <c r="H39">
        <v>21020</v>
      </c>
      <c r="I39">
        <v>1981</v>
      </c>
      <c r="J39">
        <v>1</v>
      </c>
      <c r="K39" s="51">
        <f>2.236+0.695*LN(47)</f>
        <v>4.911852583188491</v>
      </c>
      <c r="L39" s="70">
        <v>0.156</v>
      </c>
      <c r="M39" s="12">
        <v>0.101</v>
      </c>
      <c r="N39" s="55">
        <v>-0.0012</v>
      </c>
      <c r="O39" s="10">
        <f t="shared" si="13"/>
        <v>4.458126551463073</v>
      </c>
      <c r="P39">
        <v>21.4</v>
      </c>
      <c r="Q39">
        <v>2824</v>
      </c>
      <c r="R39">
        <v>39.48</v>
      </c>
      <c r="S39" s="3">
        <v>18.89</v>
      </c>
      <c r="T39">
        <v>9987</v>
      </c>
      <c r="U39">
        <v>-999.99</v>
      </c>
      <c r="V39" s="23">
        <f>$V$121+$V$122*T39</f>
        <v>0.8636634</v>
      </c>
      <c r="W39" s="12">
        <v>1.7673168</v>
      </c>
      <c r="X39" s="13">
        <v>1980</v>
      </c>
      <c r="Y39">
        <v>11320</v>
      </c>
      <c r="Z39" s="16">
        <v>6.3</v>
      </c>
      <c r="AA39" s="32">
        <v>21</v>
      </c>
      <c r="AB39" s="41">
        <f t="shared" si="2"/>
        <v>1133.1159009906096</v>
      </c>
      <c r="AC39" s="75">
        <v>0</v>
      </c>
      <c r="AD39" s="48">
        <v>55</v>
      </c>
      <c r="AE39" s="48">
        <v>13.13</v>
      </c>
      <c r="AF39">
        <v>-99</v>
      </c>
      <c r="AG39" s="11"/>
      <c r="AH39" s="3"/>
      <c r="AI39" s="3"/>
      <c r="AJ39" s="3">
        <v>47</v>
      </c>
      <c r="AK39" s="16"/>
      <c r="AL39" s="3" t="str">
        <f t="shared" si="10"/>
        <v>Costa Rica</v>
      </c>
      <c r="AM39" s="46">
        <f t="shared" si="3"/>
        <v>1133.1159009906096</v>
      </c>
      <c r="AN39" s="46">
        <f t="shared" si="4"/>
        <v>1114.9152</v>
      </c>
      <c r="AO39" s="30">
        <f t="shared" si="5"/>
        <v>30.32583531878124</v>
      </c>
      <c r="AP39" s="14">
        <f t="shared" si="6"/>
        <v>3.6692966676192453</v>
      </c>
      <c r="AQ39" s="14">
        <f t="shared" si="7"/>
        <v>1.8663786452864723</v>
      </c>
      <c r="AR39" s="14">
        <f t="shared" si="8"/>
        <v>3.483369247581368</v>
      </c>
      <c r="AS39" t="s">
        <v>186</v>
      </c>
      <c r="AT39" s="29" t="s">
        <v>148</v>
      </c>
    </row>
    <row r="40" spans="1:46" ht="12.75">
      <c r="A40" t="s">
        <v>138</v>
      </c>
      <c r="B40" s="40">
        <v>1744</v>
      </c>
      <c r="C40" s="38">
        <f t="shared" si="9"/>
        <v>1320.1460708392037</v>
      </c>
      <c r="D40" t="s">
        <v>134</v>
      </c>
      <c r="E40">
        <v>1</v>
      </c>
      <c r="F40">
        <v>12</v>
      </c>
      <c r="G40" s="11"/>
      <c r="H40">
        <v>21020</v>
      </c>
      <c r="I40">
        <v>1981</v>
      </c>
      <c r="J40">
        <v>2</v>
      </c>
      <c r="K40" s="51">
        <f>2.257+0.598*LN(43)</f>
        <v>4.5061976691847505</v>
      </c>
      <c r="L40" s="81">
        <v>0.206</v>
      </c>
      <c r="M40" s="12">
        <v>0.083</v>
      </c>
      <c r="N40" s="55">
        <v>-0.0011</v>
      </c>
      <c r="O40" s="10">
        <f t="shared" si="13"/>
        <v>4.052471637459332</v>
      </c>
      <c r="P40">
        <v>21.4</v>
      </c>
      <c r="Q40">
        <v>2824</v>
      </c>
      <c r="R40">
        <v>39.48</v>
      </c>
      <c r="S40" s="3">
        <v>18.89</v>
      </c>
      <c r="T40">
        <v>9987</v>
      </c>
      <c r="U40">
        <v>-999.99</v>
      </c>
      <c r="V40" s="23">
        <f>$V$121+$V$122*T40</f>
        <v>0.8636634</v>
      </c>
      <c r="W40" s="12">
        <v>1.7673168</v>
      </c>
      <c r="X40" s="13">
        <v>1980</v>
      </c>
      <c r="Y40">
        <v>11320</v>
      </c>
      <c r="Z40" s="16">
        <v>7.7</v>
      </c>
      <c r="AA40" s="32">
        <v>17</v>
      </c>
      <c r="AB40" s="41">
        <f t="shared" si="2"/>
        <v>838.6317019624371</v>
      </c>
      <c r="AC40" s="75">
        <v>0</v>
      </c>
      <c r="AD40" s="48">
        <v>55</v>
      </c>
      <c r="AE40" s="48">
        <v>13.13</v>
      </c>
      <c r="AF40">
        <v>-99</v>
      </c>
      <c r="AG40" s="11"/>
      <c r="AH40" s="3"/>
      <c r="AI40" s="3"/>
      <c r="AJ40" s="3">
        <v>43</v>
      </c>
      <c r="AK40" s="16"/>
      <c r="AL40" s="3" t="str">
        <f t="shared" si="10"/>
        <v>Costa Rica</v>
      </c>
      <c r="AM40" s="46">
        <f t="shared" si="3"/>
        <v>838.6317019624371</v>
      </c>
      <c r="AN40" s="46">
        <f t="shared" si="4"/>
        <v>1114.9152</v>
      </c>
      <c r="AO40" s="30">
        <f t="shared" si="5"/>
        <v>40.12501679431503</v>
      </c>
      <c r="AP40" s="14">
        <f t="shared" si="6"/>
        <v>2.718281828459046</v>
      </c>
      <c r="AQ40" s="14">
        <f t="shared" si="7"/>
        <v>2.2796000251241386</v>
      </c>
      <c r="AR40" s="14">
        <f t="shared" si="8"/>
        <v>5.196576274545973</v>
      </c>
      <c r="AS40" t="s">
        <v>186</v>
      </c>
      <c r="AT40" s="29" t="s">
        <v>148</v>
      </c>
    </row>
    <row r="41" spans="1:45" ht="12.75">
      <c r="A41" t="s">
        <v>138</v>
      </c>
      <c r="B41" s="40">
        <v>17283</v>
      </c>
      <c r="C41" s="38">
        <f t="shared" si="9"/>
        <v>15322.712948993374</v>
      </c>
      <c r="D41" t="s">
        <v>134</v>
      </c>
      <c r="E41">
        <v>1</v>
      </c>
      <c r="F41">
        <v>12</v>
      </c>
      <c r="G41" s="11"/>
      <c r="H41">
        <v>21020</v>
      </c>
      <c r="I41">
        <v>1989</v>
      </c>
      <c r="J41">
        <v>1</v>
      </c>
      <c r="K41" s="51">
        <f>5.896+0.62*LN(47)</f>
        <v>8.283091513060237</v>
      </c>
      <c r="L41" s="70">
        <v>0.105</v>
      </c>
      <c r="M41" s="12">
        <v>0.042</v>
      </c>
      <c r="N41" s="55">
        <v>-0.0005</v>
      </c>
      <c r="O41" s="10">
        <f t="shared" si="13"/>
        <v>6.367395142601421</v>
      </c>
      <c r="P41">
        <v>18.8</v>
      </c>
      <c r="Q41">
        <v>3942</v>
      </c>
      <c r="R41">
        <v>45.33</v>
      </c>
      <c r="S41">
        <v>81.5</v>
      </c>
      <c r="T41">
        <v>9905</v>
      </c>
      <c r="U41">
        <v>-999.99</v>
      </c>
      <c r="V41" s="23">
        <f>$V$121+$V$122*T41</f>
        <v>0.8621709999999999</v>
      </c>
      <c r="W41" s="12">
        <v>1.7673168</v>
      </c>
      <c r="X41" s="13">
        <v>1990</v>
      </c>
      <c r="Y41">
        <v>9905</v>
      </c>
      <c r="Z41" s="16">
        <v>6.4</v>
      </c>
      <c r="AA41" s="32">
        <v>22</v>
      </c>
      <c r="AB41" s="41">
        <f t="shared" si="2"/>
        <v>2256.104974084913</v>
      </c>
      <c r="AC41" s="3">
        <v>1</v>
      </c>
      <c r="AD41" s="48">
        <v>55</v>
      </c>
      <c r="AE41" s="48">
        <v>13.13</v>
      </c>
      <c r="AF41">
        <v>-99</v>
      </c>
      <c r="AG41" s="11"/>
      <c r="AH41" s="3"/>
      <c r="AI41" s="3"/>
      <c r="AJ41" s="3">
        <v>47</v>
      </c>
      <c r="AK41" s="16"/>
      <c r="AL41" s="3" t="str">
        <f t="shared" si="10"/>
        <v>Costa Rica</v>
      </c>
      <c r="AM41" s="46">
        <f t="shared" si="3"/>
        <v>2256.104974084913</v>
      </c>
      <c r="AN41" s="46">
        <f t="shared" si="4"/>
        <v>1786.9085999999998</v>
      </c>
      <c r="AO41" s="14">
        <f t="shared" si="5"/>
        <v>6.68589444227927</v>
      </c>
      <c r="AP41" s="14">
        <f t="shared" si="6"/>
        <v>1.7160068621848585</v>
      </c>
      <c r="AQ41" s="14">
        <f t="shared" si="7"/>
        <v>1.5219615556186337</v>
      </c>
      <c r="AR41" s="14">
        <f t="shared" si="8"/>
        <v>2.3163669767810915</v>
      </c>
      <c r="AS41" t="s">
        <v>186</v>
      </c>
    </row>
    <row r="42" spans="1:45" ht="12.75">
      <c r="A42" t="s">
        <v>138</v>
      </c>
      <c r="B42" s="40">
        <v>13928</v>
      </c>
      <c r="C42" s="38">
        <f t="shared" si="9"/>
        <v>11094.888085232093</v>
      </c>
      <c r="D42" t="s">
        <v>134</v>
      </c>
      <c r="E42">
        <v>1</v>
      </c>
      <c r="F42">
        <v>12</v>
      </c>
      <c r="G42" s="11"/>
      <c r="H42">
        <v>21020</v>
      </c>
      <c r="I42">
        <v>1989</v>
      </c>
      <c r="J42">
        <v>2</v>
      </c>
      <c r="K42" s="51">
        <f>5.064+0.725*LN(41)</f>
        <v>7.756339748360624</v>
      </c>
      <c r="L42" s="70">
        <v>0.135</v>
      </c>
      <c r="M42" s="12">
        <v>0.033</v>
      </c>
      <c r="N42" s="55">
        <v>-0.0004</v>
      </c>
      <c r="O42" s="10">
        <f t="shared" si="13"/>
        <v>5.840643377901808</v>
      </c>
      <c r="P42">
        <v>18.8</v>
      </c>
      <c r="Q42">
        <v>3942</v>
      </c>
      <c r="R42">
        <v>45.33</v>
      </c>
      <c r="S42">
        <v>81.5</v>
      </c>
      <c r="T42">
        <v>9905</v>
      </c>
      <c r="U42">
        <v>-999.99</v>
      </c>
      <c r="V42" s="23">
        <f>$V$121+$V$122*T42</f>
        <v>0.8621709999999999</v>
      </c>
      <c r="W42" s="12">
        <v>1.7673168</v>
      </c>
      <c r="X42" s="13">
        <v>1990</v>
      </c>
      <c r="Y42">
        <v>9905</v>
      </c>
      <c r="Z42" s="16">
        <v>8.1</v>
      </c>
      <c r="AA42" s="32">
        <v>18</v>
      </c>
      <c r="AB42" s="41">
        <f t="shared" si="2"/>
        <v>1633.603153653806</v>
      </c>
      <c r="AC42" s="3">
        <v>1</v>
      </c>
      <c r="AD42" s="48">
        <v>55</v>
      </c>
      <c r="AE42" s="48">
        <v>13.13</v>
      </c>
      <c r="AF42">
        <v>-99</v>
      </c>
      <c r="AG42" s="11"/>
      <c r="AH42" s="3"/>
      <c r="AI42" s="3"/>
      <c r="AJ42" s="3">
        <v>41</v>
      </c>
      <c r="AK42" s="16"/>
      <c r="AL42" s="3" t="str">
        <f t="shared" si="10"/>
        <v>Costa Rica</v>
      </c>
      <c r="AM42" s="46">
        <f t="shared" si="3"/>
        <v>1633.603153653806</v>
      </c>
      <c r="AN42" s="46">
        <f t="shared" si="4"/>
        <v>1786.9085999999998</v>
      </c>
      <c r="AO42" s="14">
        <f t="shared" si="5"/>
        <v>8.331137487687693</v>
      </c>
      <c r="AP42" s="14">
        <f t="shared" si="6"/>
        <v>1.521961555618634</v>
      </c>
      <c r="AQ42" s="14">
        <f t="shared" si="7"/>
        <v>1.7160068621848585</v>
      </c>
      <c r="AR42" s="14">
        <f t="shared" si="8"/>
        <v>2.944679551065524</v>
      </c>
      <c r="AS42" t="s">
        <v>186</v>
      </c>
    </row>
    <row r="43" spans="1:45" ht="12.75">
      <c r="A43" t="s">
        <v>175</v>
      </c>
      <c r="B43" s="40">
        <v>163</v>
      </c>
      <c r="C43" s="38">
        <f t="shared" si="9"/>
        <v>158.8016234503884</v>
      </c>
      <c r="D43" t="s">
        <v>176</v>
      </c>
      <c r="E43">
        <v>1</v>
      </c>
      <c r="F43">
        <v>2000</v>
      </c>
      <c r="G43" s="11"/>
      <c r="H43">
        <v>40000</v>
      </c>
      <c r="I43">
        <v>1989</v>
      </c>
      <c r="J43">
        <v>1</v>
      </c>
      <c r="K43" s="51">
        <f>3.257+0.797</f>
        <v>4.054</v>
      </c>
      <c r="L43" s="70">
        <v>0.047</v>
      </c>
      <c r="M43" s="12">
        <v>0.033</v>
      </c>
      <c r="N43" s="55">
        <v>-0.00057</v>
      </c>
      <c r="O43" s="10">
        <f t="shared" si="13"/>
        <v>9.665659185780395</v>
      </c>
      <c r="P43">
        <v>75.9</v>
      </c>
      <c r="Q43">
        <v>15910</v>
      </c>
      <c r="R43">
        <v>128.51</v>
      </c>
      <c r="S43">
        <v>7.31</v>
      </c>
      <c r="T43">
        <v>24647</v>
      </c>
      <c r="U43">
        <v>32589</v>
      </c>
      <c r="V43" s="20">
        <f aca="true" t="shared" si="14" ref="V43:V48">U43/T43</f>
        <v>1.3222298859901813</v>
      </c>
      <c r="W43" s="35">
        <v>2.8810476</v>
      </c>
      <c r="X43" s="13">
        <v>1990</v>
      </c>
      <c r="Y43">
        <v>32589</v>
      </c>
      <c r="Z43" s="16">
        <v>12.38</v>
      </c>
      <c r="AA43" s="32">
        <v>19.98</v>
      </c>
      <c r="AB43" s="41">
        <f t="shared" si="2"/>
        <v>43447.776593813585</v>
      </c>
      <c r="AC43" s="3">
        <v>1</v>
      </c>
      <c r="AD43" s="48">
        <v>121</v>
      </c>
      <c r="AE43" s="48">
        <v>6.29</v>
      </c>
      <c r="AF43">
        <v>-99</v>
      </c>
      <c r="AG43" s="11"/>
      <c r="AH43" s="3"/>
      <c r="AI43" s="3"/>
      <c r="AJ43" s="3"/>
      <c r="AK43" s="16"/>
      <c r="AL43" s="3" t="str">
        <f>A43</f>
        <v>Denmark</v>
      </c>
      <c r="AM43" s="46">
        <f t="shared" si="3"/>
        <v>43447.776593813585</v>
      </c>
      <c r="AN43" s="46">
        <f t="shared" si="4"/>
        <v>20445.941</v>
      </c>
      <c r="AO43" s="14">
        <f>EXP(L43*12+20*M43+400*N43)</f>
        <v>2.707430418433803</v>
      </c>
      <c r="AP43" s="14">
        <f>EXP(M43*25+N43*25^2)/EXP(M43*5+N43*25)</f>
        <v>1.3743762612275612</v>
      </c>
      <c r="AQ43" s="14">
        <f>EXP(L43*4)</f>
        <v>1.2068335153496053</v>
      </c>
      <c r="AR43" s="14">
        <f>EXP(L43*8)</f>
        <v>1.456447133771086</v>
      </c>
      <c r="AS43" t="s">
        <v>177</v>
      </c>
    </row>
    <row r="44" spans="1:45" ht="12.75">
      <c r="A44" t="s">
        <v>175</v>
      </c>
      <c r="B44" s="40">
        <v>119</v>
      </c>
      <c r="C44" s="38">
        <f t="shared" si="9"/>
        <v>120.39569723676993</v>
      </c>
      <c r="D44" t="s">
        <v>176</v>
      </c>
      <c r="E44">
        <v>1</v>
      </c>
      <c r="F44">
        <v>2000</v>
      </c>
      <c r="G44" s="11"/>
      <c r="H44">
        <v>40000</v>
      </c>
      <c r="I44">
        <v>1989</v>
      </c>
      <c r="J44">
        <v>2</v>
      </c>
      <c r="K44" s="51">
        <f>3.307+0.757</f>
        <v>4.064</v>
      </c>
      <c r="L44" s="70">
        <v>0.035</v>
      </c>
      <c r="M44" s="12">
        <v>0.026</v>
      </c>
      <c r="N44" s="55">
        <v>-0.00045</v>
      </c>
      <c r="O44" s="10">
        <f t="shared" si="13"/>
        <v>9.675659185780395</v>
      </c>
      <c r="P44">
        <v>75.9</v>
      </c>
      <c r="Q44">
        <v>15910</v>
      </c>
      <c r="R44">
        <v>128.51</v>
      </c>
      <c r="S44">
        <v>7.31</v>
      </c>
      <c r="T44">
        <v>24647</v>
      </c>
      <c r="U44">
        <v>32589</v>
      </c>
      <c r="V44" s="20">
        <f t="shared" si="14"/>
        <v>1.3222298859901813</v>
      </c>
      <c r="W44" s="35">
        <v>2.8810476</v>
      </c>
      <c r="X44" s="13">
        <v>1990</v>
      </c>
      <c r="Y44">
        <v>32589</v>
      </c>
      <c r="Z44" s="16">
        <v>11.54</v>
      </c>
      <c r="AA44" s="32">
        <v>18.07</v>
      </c>
      <c r="AB44" s="41">
        <f t="shared" si="2"/>
        <v>32939.99924398633</v>
      </c>
      <c r="AC44" s="3">
        <v>1</v>
      </c>
      <c r="AD44" s="48">
        <v>121</v>
      </c>
      <c r="AE44" s="48">
        <v>6.29</v>
      </c>
      <c r="AF44">
        <v>-99</v>
      </c>
      <c r="AG44" s="11"/>
      <c r="AH44" s="3"/>
      <c r="AI44" s="3"/>
      <c r="AJ44" s="3"/>
      <c r="AK44" s="16"/>
      <c r="AL44" s="3" t="str">
        <f>A44</f>
        <v>Denmark</v>
      </c>
      <c r="AM44" s="46">
        <f t="shared" si="3"/>
        <v>32939.99924398633</v>
      </c>
      <c r="AN44" s="46">
        <f t="shared" si="4"/>
        <v>20445.941</v>
      </c>
      <c r="AO44" s="14">
        <f>EXP(L44*12+20*M44+400*N44)</f>
        <v>2.1382762204968184</v>
      </c>
      <c r="AP44" s="14">
        <f>EXP(M44*25+N44*25^2)/EXP(M44*5+N44*25)</f>
        <v>1.2840254166877414</v>
      </c>
      <c r="AQ44" s="14">
        <f>EXP(L44*4)</f>
        <v>1.1502737988572274</v>
      </c>
      <c r="AR44" s="14">
        <f>EXP(L44*8)</f>
        <v>1.3231298123374369</v>
      </c>
      <c r="AS44" t="s">
        <v>177</v>
      </c>
    </row>
    <row r="45" spans="1:45" ht="12.75">
      <c r="A45" t="s">
        <v>139</v>
      </c>
      <c r="B45" s="40">
        <v>722</v>
      </c>
      <c r="C45" s="38">
        <f t="shared" si="9"/>
        <v>656.4187056645671</v>
      </c>
      <c r="D45" t="s">
        <v>134</v>
      </c>
      <c r="E45">
        <v>1</v>
      </c>
      <c r="F45">
        <v>12</v>
      </c>
      <c r="G45" s="11"/>
      <c r="H45">
        <v>26010</v>
      </c>
      <c r="I45">
        <v>1989</v>
      </c>
      <c r="J45">
        <v>1</v>
      </c>
      <c r="K45" s="51">
        <f>3.801+0.331*LN(47)</f>
        <v>5.0753988561660295</v>
      </c>
      <c r="L45" s="70">
        <v>0.078</v>
      </c>
      <c r="M45" s="12">
        <v>0.055</v>
      </c>
      <c r="N45" s="55">
        <v>-0.0008</v>
      </c>
      <c r="O45" s="10">
        <f t="shared" si="13"/>
        <v>5.713426737504895</v>
      </c>
      <c r="P45">
        <v>13.8</v>
      </c>
      <c r="Q45">
        <v>2897</v>
      </c>
      <c r="R45">
        <v>33.22</v>
      </c>
      <c r="S45">
        <v>6.34</v>
      </c>
      <c r="T45">
        <v>7819</v>
      </c>
      <c r="U45">
        <v>5767</v>
      </c>
      <c r="V45" s="20">
        <f t="shared" si="14"/>
        <v>0.7375623481263589</v>
      </c>
      <c r="W45" s="12">
        <v>1.7209627</v>
      </c>
      <c r="X45" s="13">
        <v>1990</v>
      </c>
      <c r="Y45">
        <v>7819</v>
      </c>
      <c r="Z45" s="16">
        <v>8.4</v>
      </c>
      <c r="AA45" s="32">
        <v>19</v>
      </c>
      <c r="AB45" s="41">
        <f t="shared" si="2"/>
        <v>1242.432881384038</v>
      </c>
      <c r="AC45" s="3">
        <v>1</v>
      </c>
      <c r="AD45" s="48">
        <v>57</v>
      </c>
      <c r="AE45" s="48">
        <v>11.06</v>
      </c>
      <c r="AF45">
        <v>10.28</v>
      </c>
      <c r="AG45" s="11"/>
      <c r="AH45" s="3"/>
      <c r="AI45" s="3"/>
      <c r="AJ45" s="3">
        <v>47</v>
      </c>
      <c r="AK45" s="16"/>
      <c r="AL45" s="3" t="str">
        <f t="shared" si="10"/>
        <v>Dominican Republic</v>
      </c>
      <c r="AM45" s="46">
        <f t="shared" si="3"/>
        <v>1242.432881384038</v>
      </c>
      <c r="AN45" s="46">
        <f t="shared" si="4"/>
        <v>962.3833999999999</v>
      </c>
      <c r="AO45" s="14">
        <f t="shared" si="5"/>
        <v>5.562234967137881</v>
      </c>
      <c r="AP45" s="14">
        <f t="shared" si="6"/>
        <v>1.8589280418463423</v>
      </c>
      <c r="AQ45" s="14">
        <f t="shared" si="7"/>
        <v>1.36615469302948</v>
      </c>
      <c r="AR45" s="14">
        <f t="shared" si="8"/>
        <v>1.8663786452864723</v>
      </c>
      <c r="AS45" t="s">
        <v>186</v>
      </c>
    </row>
    <row r="46" spans="1:45" ht="12.75">
      <c r="A46" t="s">
        <v>139</v>
      </c>
      <c r="B46" s="40">
        <v>552</v>
      </c>
      <c r="C46" s="38">
        <f t="shared" si="9"/>
        <v>437.70226100349294</v>
      </c>
      <c r="D46" t="s">
        <v>134</v>
      </c>
      <c r="E46">
        <v>1</v>
      </c>
      <c r="F46">
        <v>12</v>
      </c>
      <c r="G46" s="11"/>
      <c r="H46">
        <v>26010</v>
      </c>
      <c r="I46">
        <v>1989</v>
      </c>
      <c r="J46">
        <v>2</v>
      </c>
      <c r="K46" s="51">
        <f>3.558+0.261*LN(45)</f>
        <v>4.551538909830053</v>
      </c>
      <c r="L46" s="70">
        <v>0.12</v>
      </c>
      <c r="M46" s="12">
        <v>0.032</v>
      </c>
      <c r="N46" s="55">
        <v>-0.0004</v>
      </c>
      <c r="O46" s="10">
        <f t="shared" si="13"/>
        <v>5.189566791168918</v>
      </c>
      <c r="P46">
        <v>13.8</v>
      </c>
      <c r="Q46">
        <v>2897</v>
      </c>
      <c r="R46">
        <v>33.22</v>
      </c>
      <c r="S46">
        <v>6.34</v>
      </c>
      <c r="T46">
        <v>7819</v>
      </c>
      <c r="U46">
        <v>5767</v>
      </c>
      <c r="V46" s="20">
        <f t="shared" si="14"/>
        <v>0.7375623481263589</v>
      </c>
      <c r="W46" s="12">
        <v>1.7209627</v>
      </c>
      <c r="X46" s="13">
        <v>1990</v>
      </c>
      <c r="Y46">
        <v>7819</v>
      </c>
      <c r="Z46" s="16">
        <v>9.5</v>
      </c>
      <c r="AA46" s="32">
        <v>15</v>
      </c>
      <c r="AB46" s="41">
        <f t="shared" si="2"/>
        <v>828.458538176957</v>
      </c>
      <c r="AC46" s="3">
        <v>1</v>
      </c>
      <c r="AD46" s="48">
        <v>57</v>
      </c>
      <c r="AE46" s="48">
        <v>11.06</v>
      </c>
      <c r="AF46">
        <v>-99</v>
      </c>
      <c r="AG46" s="11"/>
      <c r="AH46" s="3"/>
      <c r="AI46" s="3"/>
      <c r="AJ46" s="3">
        <v>45</v>
      </c>
      <c r="AK46" s="16"/>
      <c r="AL46" s="3" t="str">
        <f t="shared" si="10"/>
        <v>Dominican Republic</v>
      </c>
      <c r="AM46" s="46">
        <f t="shared" si="3"/>
        <v>828.458538176957</v>
      </c>
      <c r="AN46" s="46">
        <f t="shared" si="4"/>
        <v>962.3833999999999</v>
      </c>
      <c r="AO46" s="14">
        <f t="shared" si="5"/>
        <v>6.820958469290751</v>
      </c>
      <c r="AP46" s="14">
        <f t="shared" si="6"/>
        <v>1.4918246976412703</v>
      </c>
      <c r="AQ46" s="14">
        <f t="shared" si="7"/>
        <v>1.6160744021928934</v>
      </c>
      <c r="AR46" s="14">
        <f t="shared" si="8"/>
        <v>2.611696473423118</v>
      </c>
      <c r="AS46" t="s">
        <v>186</v>
      </c>
    </row>
    <row r="47" spans="1:45" ht="12.75">
      <c r="A47" t="s">
        <v>140</v>
      </c>
      <c r="B47" s="40">
        <v>32049</v>
      </c>
      <c r="C47" s="38">
        <f t="shared" si="9"/>
        <v>25874.64626890577</v>
      </c>
      <c r="D47" t="s">
        <v>134</v>
      </c>
      <c r="E47">
        <v>1</v>
      </c>
      <c r="F47">
        <v>12</v>
      </c>
      <c r="G47" s="11"/>
      <c r="H47">
        <v>30030</v>
      </c>
      <c r="I47">
        <v>1987</v>
      </c>
      <c r="J47">
        <v>1</v>
      </c>
      <c r="K47" s="51">
        <f>7.434+0.273*LN(45)</f>
        <v>8.473218859707298</v>
      </c>
      <c r="L47" s="70">
        <v>0.098</v>
      </c>
      <c r="M47" s="12">
        <v>0.054</v>
      </c>
      <c r="N47" s="55">
        <v>-0.0008</v>
      </c>
      <c r="O47" s="10">
        <f t="shared" si="13"/>
        <v>5.557702920010108</v>
      </c>
      <c r="P47">
        <v>15.5</v>
      </c>
      <c r="Q47">
        <v>2862</v>
      </c>
      <c r="R47">
        <v>37.52</v>
      </c>
      <c r="S47" s="3">
        <v>221.5</v>
      </c>
      <c r="T47">
        <v>9116</v>
      </c>
      <c r="U47">
        <v>15528</v>
      </c>
      <c r="V47" s="20">
        <f t="shared" si="14"/>
        <v>1.7033786748573936</v>
      </c>
      <c r="W47" s="12">
        <v>2.2749113</v>
      </c>
      <c r="X47" s="13">
        <v>1990</v>
      </c>
      <c r="Y47">
        <v>9154</v>
      </c>
      <c r="Z47" s="16">
        <v>9.7</v>
      </c>
      <c r="AA47" s="32">
        <v>19</v>
      </c>
      <c r="AB47" s="41">
        <f t="shared" si="2"/>
        <v>1401.786705313179</v>
      </c>
      <c r="AC47" s="3">
        <v>1</v>
      </c>
      <c r="AD47" s="48">
        <v>78</v>
      </c>
      <c r="AE47" s="48">
        <v>9.82</v>
      </c>
      <c r="AF47">
        <v>11.55</v>
      </c>
      <c r="AG47" s="11"/>
      <c r="AH47" s="3"/>
      <c r="AI47" s="3"/>
      <c r="AJ47" s="3">
        <v>45</v>
      </c>
      <c r="AK47" s="16"/>
      <c r="AL47" s="3" t="str">
        <f t="shared" si="10"/>
        <v>Ecuador</v>
      </c>
      <c r="AM47" s="46">
        <f t="shared" si="3"/>
        <v>1401.786705313179</v>
      </c>
      <c r="AN47" s="46">
        <f t="shared" si="4"/>
        <v>1073.8224</v>
      </c>
      <c r="AO47" s="14">
        <f t="shared" si="5"/>
        <v>6.9309715626099795</v>
      </c>
      <c r="AP47" s="14">
        <f t="shared" si="6"/>
        <v>1.8221188003905093</v>
      </c>
      <c r="AQ47" s="14">
        <f t="shared" si="7"/>
        <v>1.4799377114022885</v>
      </c>
      <c r="AR47" s="14">
        <f t="shared" si="8"/>
        <v>2.190215629630643</v>
      </c>
      <c r="AS47" t="s">
        <v>186</v>
      </c>
    </row>
    <row r="48" spans="1:45" ht="12.75">
      <c r="A48" t="s">
        <v>140</v>
      </c>
      <c r="B48" s="40">
        <v>19360</v>
      </c>
      <c r="C48" s="38">
        <f t="shared" si="9"/>
        <v>15671.643840300265</v>
      </c>
      <c r="D48" t="s">
        <v>134</v>
      </c>
      <c r="E48">
        <v>1</v>
      </c>
      <c r="F48">
        <v>12</v>
      </c>
      <c r="G48" s="11"/>
      <c r="H48">
        <v>30030</v>
      </c>
      <c r="I48">
        <v>1987</v>
      </c>
      <c r="J48">
        <v>2</v>
      </c>
      <c r="K48" s="51">
        <f>6.938+0.305*LN(40)</f>
        <v>8.06310823350475</v>
      </c>
      <c r="L48" s="70">
        <v>0.115</v>
      </c>
      <c r="M48" s="12">
        <v>0.037</v>
      </c>
      <c r="N48" s="55">
        <v>-0.0005</v>
      </c>
      <c r="O48" s="10">
        <f t="shared" si="13"/>
        <v>5.147592293807559</v>
      </c>
      <c r="P48">
        <v>15.5</v>
      </c>
      <c r="Q48">
        <v>2862</v>
      </c>
      <c r="R48">
        <v>37.52</v>
      </c>
      <c r="S48" s="3">
        <v>221.5</v>
      </c>
      <c r="T48">
        <v>9116</v>
      </c>
      <c r="U48">
        <v>15528</v>
      </c>
      <c r="V48" s="20">
        <f t="shared" si="14"/>
        <v>1.7033786748573936</v>
      </c>
      <c r="W48" s="12">
        <v>2.2749113</v>
      </c>
      <c r="X48" s="13">
        <v>1990</v>
      </c>
      <c r="Y48">
        <v>9154</v>
      </c>
      <c r="Z48" s="16">
        <v>9.5</v>
      </c>
      <c r="AA48" s="32">
        <v>18</v>
      </c>
      <c r="AB48" s="41">
        <f t="shared" si="2"/>
        <v>849.0281087295859</v>
      </c>
      <c r="AC48" s="3">
        <v>1</v>
      </c>
      <c r="AD48" s="48">
        <v>78</v>
      </c>
      <c r="AE48" s="48">
        <v>9.82</v>
      </c>
      <c r="AF48">
        <v>-99</v>
      </c>
      <c r="AG48" s="11"/>
      <c r="AH48" s="3"/>
      <c r="AI48" s="3"/>
      <c r="AJ48" s="3">
        <v>40</v>
      </c>
      <c r="AK48" s="16"/>
      <c r="AL48" s="3" t="str">
        <f t="shared" si="10"/>
        <v>Ecuador</v>
      </c>
      <c r="AM48" s="46">
        <f t="shared" si="3"/>
        <v>849.0281087295859</v>
      </c>
      <c r="AN48" s="46">
        <f t="shared" si="4"/>
        <v>1073.8224</v>
      </c>
      <c r="AO48" s="14">
        <f t="shared" si="5"/>
        <v>6.820958469290751</v>
      </c>
      <c r="AP48" s="14">
        <f t="shared" si="6"/>
        <v>1.552707218511336</v>
      </c>
      <c r="AQ48" s="14">
        <f t="shared" si="7"/>
        <v>1.5840739849944818</v>
      </c>
      <c r="AR48" s="14">
        <f t="shared" si="8"/>
        <v>2.509290389936298</v>
      </c>
      <c r="AS48" t="s">
        <v>186</v>
      </c>
    </row>
    <row r="49" spans="1:45" ht="12.75">
      <c r="A49" t="s">
        <v>131</v>
      </c>
      <c r="B49" s="40">
        <v>989</v>
      </c>
      <c r="C49" s="38">
        <f t="shared" si="9"/>
        <v>868.0277231414137</v>
      </c>
      <c r="D49" t="s">
        <v>134</v>
      </c>
      <c r="E49">
        <v>1</v>
      </c>
      <c r="F49">
        <v>12</v>
      </c>
      <c r="G49" s="11"/>
      <c r="H49">
        <v>21030</v>
      </c>
      <c r="I49">
        <v>1990</v>
      </c>
      <c r="J49">
        <v>1</v>
      </c>
      <c r="K49" s="51">
        <f>3.513+0.499*LN(47)</f>
        <v>5.434223653253319</v>
      </c>
      <c r="L49" s="70">
        <v>0.096</v>
      </c>
      <c r="M49" s="12">
        <v>0.041</v>
      </c>
      <c r="N49" s="55">
        <v>-0.0005</v>
      </c>
      <c r="O49" s="10">
        <f aca="true" t="shared" si="15" ref="O49:O59">K49-LN(S49)+LN(F49)</f>
        <v>5.832216746522782</v>
      </c>
      <c r="P49">
        <v>9.6</v>
      </c>
      <c r="Q49">
        <v>2103</v>
      </c>
      <c r="R49">
        <v>49.72</v>
      </c>
      <c r="S49" s="3">
        <v>8.06</v>
      </c>
      <c r="T49">
        <v>5485</v>
      </c>
      <c r="U49">
        <v>-999.99</v>
      </c>
      <c r="V49" s="23">
        <f>$V$121+$V$122*T49</f>
        <v>0.781727</v>
      </c>
      <c r="W49" s="12">
        <v>1.1064737</v>
      </c>
      <c r="X49" s="13">
        <v>1990</v>
      </c>
      <c r="Y49">
        <v>5489</v>
      </c>
      <c r="Z49" s="16">
        <v>7</v>
      </c>
      <c r="AA49" s="32">
        <v>22</v>
      </c>
      <c r="AB49" s="41">
        <f t="shared" si="2"/>
        <v>1292.3489674561984</v>
      </c>
      <c r="AC49" s="3">
        <v>1</v>
      </c>
      <c r="AD49" s="48">
        <v>58</v>
      </c>
      <c r="AE49" s="48">
        <v>10.64</v>
      </c>
      <c r="AF49">
        <v>8.61</v>
      </c>
      <c r="AG49" s="11"/>
      <c r="AH49" s="3"/>
      <c r="AI49" s="3"/>
      <c r="AJ49" s="3">
        <v>47</v>
      </c>
      <c r="AK49" s="16"/>
      <c r="AL49" s="3" t="str">
        <f t="shared" si="10"/>
        <v>El Salvador</v>
      </c>
      <c r="AM49" s="46">
        <f t="shared" si="3"/>
        <v>1292.3489674561984</v>
      </c>
      <c r="AN49" s="46">
        <f t="shared" si="4"/>
        <v>1045.6116</v>
      </c>
      <c r="AO49" s="14">
        <f t="shared" si="5"/>
        <v>5.88260681764381</v>
      </c>
      <c r="AP49" s="14">
        <f t="shared" si="6"/>
        <v>1.6820276496988864</v>
      </c>
      <c r="AQ49" s="14">
        <f t="shared" si="7"/>
        <v>1.4681454416819895</v>
      </c>
      <c r="AR49" s="14">
        <f t="shared" si="8"/>
        <v>2.155451037931604</v>
      </c>
      <c r="AS49" t="s">
        <v>186</v>
      </c>
    </row>
    <row r="50" spans="1:45" ht="12.75">
      <c r="A50" t="s">
        <v>131</v>
      </c>
      <c r="B50" s="40">
        <v>766</v>
      </c>
      <c r="C50" s="38">
        <f t="shared" si="9"/>
        <v>669.7254306757097</v>
      </c>
      <c r="D50" t="s">
        <v>134</v>
      </c>
      <c r="E50">
        <v>1</v>
      </c>
      <c r="F50">
        <v>12</v>
      </c>
      <c r="G50" s="11"/>
      <c r="H50">
        <v>21030</v>
      </c>
      <c r="I50">
        <v>1990</v>
      </c>
      <c r="J50">
        <v>2</v>
      </c>
      <c r="K50" s="51">
        <f>3.132+0.561*LN(46)</f>
        <v>5.279867823430383</v>
      </c>
      <c r="L50" s="70">
        <v>0.098</v>
      </c>
      <c r="M50" s="12">
        <v>0.034</v>
      </c>
      <c r="N50" s="55">
        <v>-0.0004</v>
      </c>
      <c r="O50" s="10">
        <f t="shared" si="15"/>
        <v>5.677860916699846</v>
      </c>
      <c r="P50">
        <v>9.6</v>
      </c>
      <c r="Q50">
        <v>2103</v>
      </c>
      <c r="R50">
        <v>49.72</v>
      </c>
      <c r="S50" s="3">
        <v>8.06</v>
      </c>
      <c r="T50">
        <v>5485</v>
      </c>
      <c r="U50">
        <v>-999.99</v>
      </c>
      <c r="V50" s="23">
        <f>$V$121+$V$122*T50</f>
        <v>0.781727</v>
      </c>
      <c r="W50" s="12">
        <v>1.1064737</v>
      </c>
      <c r="X50" s="13">
        <v>1990</v>
      </c>
      <c r="Y50">
        <v>5489</v>
      </c>
      <c r="Z50" s="16">
        <v>6.7</v>
      </c>
      <c r="AA50" s="32">
        <v>23</v>
      </c>
      <c r="AB50" s="41">
        <f t="shared" si="2"/>
        <v>997.1098223459692</v>
      </c>
      <c r="AC50" s="3">
        <v>1</v>
      </c>
      <c r="AD50" s="48">
        <v>58</v>
      </c>
      <c r="AE50" s="48">
        <v>10.64</v>
      </c>
      <c r="AF50">
        <v>-99</v>
      </c>
      <c r="AG50" s="11"/>
      <c r="AH50" s="3"/>
      <c r="AI50" s="3"/>
      <c r="AJ50" s="3">
        <v>46</v>
      </c>
      <c r="AK50" s="16"/>
      <c r="AL50" s="3" t="str">
        <f t="shared" si="10"/>
        <v>El Salvador</v>
      </c>
      <c r="AM50" s="46">
        <f t="shared" si="3"/>
        <v>997.1098223459692</v>
      </c>
      <c r="AN50" s="46">
        <f t="shared" si="4"/>
        <v>1045.6116</v>
      </c>
      <c r="AO50" s="14">
        <f t="shared" si="5"/>
        <v>5.4520953354089965</v>
      </c>
      <c r="AP50" s="14">
        <f t="shared" si="6"/>
        <v>1.5527072185113362</v>
      </c>
      <c r="AQ50" s="14">
        <f t="shared" si="7"/>
        <v>1.4799377114022885</v>
      </c>
      <c r="AR50" s="14">
        <f t="shared" si="8"/>
        <v>2.190215629630643</v>
      </c>
      <c r="AS50" t="s">
        <v>186</v>
      </c>
    </row>
    <row r="51" spans="1:45" ht="12.75">
      <c r="A51" t="s">
        <v>34</v>
      </c>
      <c r="B51" s="40">
        <v>40098</v>
      </c>
      <c r="C51" s="38">
        <f t="shared" si="9"/>
        <v>39120.51635029239</v>
      </c>
      <c r="D51" t="s">
        <v>107</v>
      </c>
      <c r="E51">
        <v>1</v>
      </c>
      <c r="F51">
        <v>1</v>
      </c>
      <c r="G51" s="11"/>
      <c r="H51">
        <v>45300</v>
      </c>
      <c r="I51">
        <v>1981</v>
      </c>
      <c r="J51">
        <v>1</v>
      </c>
      <c r="K51" s="51">
        <v>9.399</v>
      </c>
      <c r="L51" s="70">
        <v>0.07</v>
      </c>
      <c r="M51" s="12">
        <v>0.031</v>
      </c>
      <c r="N51" s="55">
        <v>-0.000607</v>
      </c>
      <c r="O51" s="10">
        <f t="shared" si="15"/>
        <v>8.583635186715805</v>
      </c>
      <c r="P51">
        <v>76.1</v>
      </c>
      <c r="Q51">
        <v>10043</v>
      </c>
      <c r="R51">
        <v>109.64</v>
      </c>
      <c r="S51" s="3">
        <v>2.26</v>
      </c>
      <c r="T51">
        <v>26733</v>
      </c>
      <c r="U51">
        <v>44874</v>
      </c>
      <c r="V51" s="20">
        <f aca="true" t="shared" si="16" ref="V51:V59">U51/T51</f>
        <v>1.6785994837840872</v>
      </c>
      <c r="W51" s="12">
        <v>3.2880888</v>
      </c>
      <c r="X51" s="13">
        <v>1980</v>
      </c>
      <c r="Y51">
        <v>27257</v>
      </c>
      <c r="Z51" s="17">
        <v>11.15</v>
      </c>
      <c r="AA51" s="32">
        <v>24.32</v>
      </c>
      <c r="AB51" s="41">
        <f t="shared" si="2"/>
        <v>17309.96298685504</v>
      </c>
      <c r="AC51" s="3">
        <v>1</v>
      </c>
      <c r="AD51" s="48">
        <v>125</v>
      </c>
      <c r="AE51" s="48">
        <v>5.35</v>
      </c>
      <c r="AF51">
        <v>-99</v>
      </c>
      <c r="AG51" s="11"/>
      <c r="AH51" s="3"/>
      <c r="AI51" s="3"/>
      <c r="AJ51" s="3"/>
      <c r="AK51" s="16"/>
      <c r="AL51" s="3" t="str">
        <f t="shared" si="10"/>
        <v>Germany</v>
      </c>
      <c r="AM51" s="46">
        <f t="shared" si="3"/>
        <v>17309.96298685504</v>
      </c>
      <c r="AN51" s="46">
        <f t="shared" si="4"/>
        <v>11011.1452</v>
      </c>
      <c r="AO51" s="14">
        <f t="shared" si="5"/>
        <v>3.37771687335919</v>
      </c>
      <c r="AP51" s="14">
        <f t="shared" si="6"/>
        <v>1.2914944032274482</v>
      </c>
      <c r="AQ51" s="14">
        <f t="shared" si="7"/>
        <v>1.3231298123374369</v>
      </c>
      <c r="AR51" s="14">
        <f t="shared" si="8"/>
        <v>1.7506725002961012</v>
      </c>
      <c r="AS51" t="s">
        <v>102</v>
      </c>
    </row>
    <row r="52" spans="1:45" ht="12.75">
      <c r="A52" t="s">
        <v>34</v>
      </c>
      <c r="B52" s="40">
        <v>3814.11</v>
      </c>
      <c r="C52" s="38">
        <f t="shared" si="9"/>
        <v>3872.892167441537</v>
      </c>
      <c r="D52" t="s">
        <v>35</v>
      </c>
      <c r="E52">
        <v>1</v>
      </c>
      <c r="F52">
        <v>12</v>
      </c>
      <c r="G52" s="11"/>
      <c r="H52">
        <v>45300</v>
      </c>
      <c r="I52">
        <v>1988</v>
      </c>
      <c r="J52">
        <v>1</v>
      </c>
      <c r="K52" s="51">
        <v>6.767</v>
      </c>
      <c r="L52" s="70">
        <v>0.075</v>
      </c>
      <c r="M52" s="12">
        <v>0.049</v>
      </c>
      <c r="N52" s="55">
        <v>-0.00083</v>
      </c>
      <c r="O52" s="10">
        <f t="shared" si="15"/>
        <v>8.688868154575076</v>
      </c>
      <c r="P52">
        <v>79.3</v>
      </c>
      <c r="Q52">
        <v>15637</v>
      </c>
      <c r="R52">
        <v>124.19</v>
      </c>
      <c r="S52" s="9">
        <v>1.756</v>
      </c>
      <c r="T52">
        <v>29152</v>
      </c>
      <c r="U52">
        <v>51063</v>
      </c>
      <c r="V52" s="20">
        <f t="shared" si="16"/>
        <v>1.7516122392974753</v>
      </c>
      <c r="W52" s="12">
        <v>3.2880888</v>
      </c>
      <c r="X52" s="13">
        <v>1990</v>
      </c>
      <c r="Y52">
        <v>28505</v>
      </c>
      <c r="Z52" s="16">
        <v>11.15</v>
      </c>
      <c r="AA52" s="32">
        <v>20.69</v>
      </c>
      <c r="AB52" s="41">
        <f t="shared" si="2"/>
        <v>26466.233490488838</v>
      </c>
      <c r="AC52" s="3">
        <v>1</v>
      </c>
      <c r="AD52" s="48">
        <v>125</v>
      </c>
      <c r="AE52" s="48">
        <f>AE51</f>
        <v>5.35</v>
      </c>
      <c r="AF52">
        <v>13.88</v>
      </c>
      <c r="AG52" s="11"/>
      <c r="AH52" s="3"/>
      <c r="AI52" s="3"/>
      <c r="AJ52" s="3"/>
      <c r="AK52" s="16"/>
      <c r="AL52" s="3" t="str">
        <f t="shared" si="10"/>
        <v>Germany</v>
      </c>
      <c r="AM52" s="46">
        <f t="shared" si="3"/>
        <v>26466.233490488838</v>
      </c>
      <c r="AN52" s="46">
        <f t="shared" si="4"/>
        <v>19419.5903</v>
      </c>
      <c r="AO52" s="14">
        <f t="shared" si="5"/>
        <v>4.702056658887104</v>
      </c>
      <c r="AP52" s="14">
        <f t="shared" si="6"/>
        <v>1.6193097853019274</v>
      </c>
      <c r="AQ52" s="14">
        <f t="shared" si="7"/>
        <v>1.3498588075760032</v>
      </c>
      <c r="AR52" s="14">
        <f t="shared" si="8"/>
        <v>1.8221188003905089</v>
      </c>
      <c r="AS52" t="s">
        <v>36</v>
      </c>
    </row>
    <row r="53" spans="1:45" ht="12.75">
      <c r="A53" t="s">
        <v>34</v>
      </c>
      <c r="B53" s="40">
        <v>3814</v>
      </c>
      <c r="C53" s="38">
        <f t="shared" si="9"/>
        <v>2937.232013958363</v>
      </c>
      <c r="D53" t="s">
        <v>35</v>
      </c>
      <c r="E53">
        <v>1</v>
      </c>
      <c r="F53">
        <v>12</v>
      </c>
      <c r="G53" s="11"/>
      <c r="H53">
        <v>45300</v>
      </c>
      <c r="I53">
        <v>1988</v>
      </c>
      <c r="J53">
        <v>2</v>
      </c>
      <c r="K53" s="51">
        <v>6.523</v>
      </c>
      <c r="L53" s="70">
        <v>0.082</v>
      </c>
      <c r="M53" s="12">
        <v>0.042</v>
      </c>
      <c r="N53" s="55">
        <v>-0.00075</v>
      </c>
      <c r="O53" s="10">
        <f t="shared" si="15"/>
        <v>8.444868154575076</v>
      </c>
      <c r="P53">
        <v>79.3</v>
      </c>
      <c r="Q53">
        <v>15637</v>
      </c>
      <c r="R53">
        <v>124.19</v>
      </c>
      <c r="S53" s="9">
        <v>1.756</v>
      </c>
      <c r="T53">
        <v>29152</v>
      </c>
      <c r="U53">
        <v>51063</v>
      </c>
      <c r="V53" s="20">
        <f t="shared" si="16"/>
        <v>1.7516122392974753</v>
      </c>
      <c r="W53" s="12">
        <v>3.2880888</v>
      </c>
      <c r="X53" s="13">
        <v>1990</v>
      </c>
      <c r="Y53">
        <v>28505</v>
      </c>
      <c r="Z53" s="16">
        <v>11.15</v>
      </c>
      <c r="AA53" s="32">
        <v>20.69</v>
      </c>
      <c r="AB53" s="41">
        <f t="shared" si="2"/>
        <v>20072.200550968348</v>
      </c>
      <c r="AC53" s="3">
        <v>1</v>
      </c>
      <c r="AD53" s="48">
        <v>125</v>
      </c>
      <c r="AE53" s="48">
        <f>AE52</f>
        <v>5.35</v>
      </c>
      <c r="AF53">
        <v>-99</v>
      </c>
      <c r="AG53" s="11"/>
      <c r="AH53" s="3"/>
      <c r="AI53" s="3"/>
      <c r="AJ53" s="3"/>
      <c r="AK53" s="16"/>
      <c r="AL53" s="3" t="str">
        <f t="shared" si="10"/>
        <v>Germany</v>
      </c>
      <c r="AM53" s="46">
        <f t="shared" si="3"/>
        <v>20072.200550968348</v>
      </c>
      <c r="AN53" s="46">
        <f t="shared" si="4"/>
        <v>19419.5903</v>
      </c>
      <c r="AO53" s="14">
        <f t="shared" si="5"/>
        <v>4.590550722543501</v>
      </c>
      <c r="AP53" s="14">
        <f t="shared" si="6"/>
        <v>1.4769807938826425</v>
      </c>
      <c r="AQ53" s="14">
        <f t="shared" si="7"/>
        <v>1.3881889722894125</v>
      </c>
      <c r="AR53" s="14">
        <f t="shared" si="8"/>
        <v>1.927068622785935</v>
      </c>
      <c r="AS53" t="s">
        <v>36</v>
      </c>
    </row>
    <row r="54" spans="1:45" ht="12.75">
      <c r="A54" t="s">
        <v>91</v>
      </c>
      <c r="B54" s="40">
        <v>10878</v>
      </c>
      <c r="C54" s="38">
        <f t="shared" si="9"/>
        <v>11463.316395603648</v>
      </c>
      <c r="D54" t="s">
        <v>92</v>
      </c>
      <c r="E54">
        <v>1</v>
      </c>
      <c r="F54">
        <v>1</v>
      </c>
      <c r="G54" s="11"/>
      <c r="H54">
        <v>41000</v>
      </c>
      <c r="I54">
        <v>1987</v>
      </c>
      <c r="J54">
        <v>1</v>
      </c>
      <c r="K54" s="51">
        <v>7.827</v>
      </c>
      <c r="L54" s="70">
        <v>0.068</v>
      </c>
      <c r="M54" s="12">
        <v>0.055</v>
      </c>
      <c r="N54" s="55">
        <v>-0.001017</v>
      </c>
      <c r="O54" s="10">
        <f t="shared" si="15"/>
        <v>8.318186408513641</v>
      </c>
      <c r="P54">
        <v>70.2</v>
      </c>
      <c r="Q54">
        <v>12935</v>
      </c>
      <c r="R54">
        <v>93.6</v>
      </c>
      <c r="S54" s="3">
        <v>0.6119</v>
      </c>
      <c r="T54">
        <v>25016</v>
      </c>
      <c r="U54">
        <v>18508</v>
      </c>
      <c r="V54" s="20">
        <f t="shared" si="16"/>
        <v>0.7398464982411257</v>
      </c>
      <c r="W54" s="12">
        <v>2.1703306</v>
      </c>
      <c r="X54" s="13">
        <v>1990</v>
      </c>
      <c r="Y54">
        <v>26858</v>
      </c>
      <c r="Z54" s="17">
        <v>11.83</v>
      </c>
      <c r="AA54" s="32">
        <v>21.78</v>
      </c>
      <c r="AB54" s="41">
        <f t="shared" si="2"/>
        <v>18733.970249393104</v>
      </c>
      <c r="AC54" s="3">
        <v>1</v>
      </c>
      <c r="AD54" s="48">
        <v>142</v>
      </c>
      <c r="AE54" s="48">
        <v>4.03</v>
      </c>
      <c r="AF54">
        <v>14.6</v>
      </c>
      <c r="AG54" s="11"/>
      <c r="AH54" s="3"/>
      <c r="AI54" s="3"/>
      <c r="AJ54" s="3"/>
      <c r="AK54" s="16"/>
      <c r="AL54" s="3" t="str">
        <f t="shared" si="10"/>
        <v>Great Britain</v>
      </c>
      <c r="AM54" s="46">
        <f t="shared" si="3"/>
        <v>18733.970249393104</v>
      </c>
      <c r="AN54" s="46">
        <f t="shared" si="4"/>
        <v>12107.16</v>
      </c>
      <c r="AO54" s="14">
        <f t="shared" si="5"/>
        <v>4.5231108578464525</v>
      </c>
      <c r="AP54" s="14">
        <f t="shared" si="6"/>
        <v>1.631989789355536</v>
      </c>
      <c r="AQ54" s="14">
        <f t="shared" si="7"/>
        <v>1.3125870013111083</v>
      </c>
      <c r="AR54" s="14">
        <f t="shared" si="8"/>
        <v>1.7228846360108874</v>
      </c>
      <c r="AS54" t="s">
        <v>105</v>
      </c>
    </row>
    <row r="55" spans="1:45" ht="12.75">
      <c r="A55" t="s">
        <v>37</v>
      </c>
      <c r="B55" s="40">
        <v>183000</v>
      </c>
      <c r="C55" s="38">
        <f t="shared" si="9"/>
        <v>188527.65764230074</v>
      </c>
      <c r="D55" s="3" t="s">
        <v>56</v>
      </c>
      <c r="E55">
        <v>1</v>
      </c>
      <c r="F55">
        <v>1</v>
      </c>
      <c r="G55" s="11"/>
      <c r="H55">
        <v>43300</v>
      </c>
      <c r="I55">
        <v>1977</v>
      </c>
      <c r="J55">
        <v>1</v>
      </c>
      <c r="K55" s="51">
        <v>10.787</v>
      </c>
      <c r="L55" s="70">
        <v>0.058</v>
      </c>
      <c r="M55" s="12">
        <v>0.059</v>
      </c>
      <c r="N55" s="55">
        <v>-0.001</v>
      </c>
      <c r="O55" s="10">
        <f t="shared" si="15"/>
        <v>7.180415788612894</v>
      </c>
      <c r="P55">
        <v>36.1</v>
      </c>
      <c r="Q55">
        <v>3238</v>
      </c>
      <c r="R55">
        <v>86.8</v>
      </c>
      <c r="S55" s="9">
        <v>36.84</v>
      </c>
      <c r="T55">
        <v>14417</v>
      </c>
      <c r="U55">
        <v>17640</v>
      </c>
      <c r="V55" s="20">
        <f t="shared" si="16"/>
        <v>1.2235555247277519</v>
      </c>
      <c r="W55" s="12">
        <v>2.644079</v>
      </c>
      <c r="X55" s="13">
        <v>1980</v>
      </c>
      <c r="Y55">
        <v>15463</v>
      </c>
      <c r="Z55" s="16">
        <v>10</v>
      </c>
      <c r="AA55" s="75">
        <f>$AA$6</f>
        <v>20</v>
      </c>
      <c r="AB55" s="41">
        <f t="shared" si="2"/>
        <v>5117.471705817063</v>
      </c>
      <c r="AC55" s="3">
        <v>1</v>
      </c>
      <c r="AD55" s="48">
        <v>126</v>
      </c>
      <c r="AE55" s="48">
        <v>6.37</v>
      </c>
      <c r="AF55">
        <v>11.83</v>
      </c>
      <c r="AG55" s="11"/>
      <c r="AH55" s="3"/>
      <c r="AI55" s="3"/>
      <c r="AJ55" s="3"/>
      <c r="AK55" s="16"/>
      <c r="AL55" s="3" t="str">
        <f t="shared" si="10"/>
        <v>Greece</v>
      </c>
      <c r="AM55" s="46">
        <f t="shared" si="3"/>
        <v>5117.471705817063</v>
      </c>
      <c r="AN55" s="46">
        <f t="shared" si="4"/>
        <v>2810.584</v>
      </c>
      <c r="AO55" s="14">
        <f t="shared" si="5"/>
        <v>4.375408994949263</v>
      </c>
      <c r="AP55" s="14">
        <f t="shared" si="6"/>
        <v>1.7860384307500734</v>
      </c>
      <c r="AQ55" s="14">
        <f t="shared" si="7"/>
        <v>1.2611197288283293</v>
      </c>
      <c r="AR55" s="14">
        <f t="shared" si="8"/>
        <v>1.5904229704400392</v>
      </c>
      <c r="AS55" t="s">
        <v>57</v>
      </c>
    </row>
    <row r="56" spans="1:45" ht="12.75">
      <c r="A56" t="s">
        <v>141</v>
      </c>
      <c r="B56" s="40">
        <v>256</v>
      </c>
      <c r="C56" s="38">
        <f t="shared" si="9"/>
        <v>179.1253636717366</v>
      </c>
      <c r="D56" s="3" t="s">
        <v>134</v>
      </c>
      <c r="E56">
        <v>1</v>
      </c>
      <c r="F56">
        <v>12</v>
      </c>
      <c r="G56" s="11"/>
      <c r="H56">
        <v>21040</v>
      </c>
      <c r="I56">
        <v>1989</v>
      </c>
      <c r="J56">
        <v>1</v>
      </c>
      <c r="K56" s="51">
        <f>2.698+0.313*LN(48)</f>
        <v>3.90968591641417</v>
      </c>
      <c r="L56" s="70">
        <v>0.142</v>
      </c>
      <c r="M56" s="12">
        <v>0.044</v>
      </c>
      <c r="N56" s="55">
        <v>-0.0006</v>
      </c>
      <c r="O56" s="10">
        <f t="shared" si="15"/>
        <v>5.110995603320623</v>
      </c>
      <c r="P56">
        <v>11.7</v>
      </c>
      <c r="Q56">
        <v>2447</v>
      </c>
      <c r="R56">
        <v>38.47</v>
      </c>
      <c r="S56" s="9">
        <v>3.6096</v>
      </c>
      <c r="T56">
        <v>7483</v>
      </c>
      <c r="U56">
        <v>3675</v>
      </c>
      <c r="V56" s="20">
        <f t="shared" si="16"/>
        <v>0.49111318989710007</v>
      </c>
      <c r="W56" s="12">
        <v>1.165677</v>
      </c>
      <c r="X56" s="13">
        <v>1990</v>
      </c>
      <c r="Y56">
        <v>7483</v>
      </c>
      <c r="Z56" s="16">
        <v>4</v>
      </c>
      <c r="AA56" s="32">
        <v>24</v>
      </c>
      <c r="AB56" s="41">
        <f t="shared" si="2"/>
        <v>595.496554759763</v>
      </c>
      <c r="AC56" s="3">
        <v>1</v>
      </c>
      <c r="AD56" s="48">
        <v>60</v>
      </c>
      <c r="AE56" s="48">
        <v>20.82</v>
      </c>
      <c r="AF56">
        <v>9.23</v>
      </c>
      <c r="AG56" s="11"/>
      <c r="AH56" s="3"/>
      <c r="AI56" s="3"/>
      <c r="AJ56" s="3">
        <v>48</v>
      </c>
      <c r="AK56" s="16"/>
      <c r="AL56" s="3" t="str">
        <f t="shared" si="10"/>
        <v>Guatemala</v>
      </c>
      <c r="AM56" s="46">
        <f t="shared" si="3"/>
        <v>595.496554759763</v>
      </c>
      <c r="AN56" s="46">
        <f t="shared" si="4"/>
        <v>941.3609</v>
      </c>
      <c r="AO56" s="14">
        <f t="shared" si="5"/>
        <v>10.42284466971928</v>
      </c>
      <c r="AP56" s="14">
        <f t="shared" si="6"/>
        <v>1.6820276496988862</v>
      </c>
      <c r="AQ56" s="14">
        <f t="shared" si="7"/>
        <v>1.7647340515084595</v>
      </c>
      <c r="AR56" s="14">
        <f t="shared" si="8"/>
        <v>3.114286272553462</v>
      </c>
      <c r="AS56" t="s">
        <v>186</v>
      </c>
    </row>
    <row r="57" spans="1:45" ht="12.75">
      <c r="A57" t="s">
        <v>141</v>
      </c>
      <c r="B57" s="40">
        <v>207</v>
      </c>
      <c r="C57" s="38">
        <f t="shared" si="9"/>
        <v>132.32757193138605</v>
      </c>
      <c r="D57" s="3" t="s">
        <v>134</v>
      </c>
      <c r="E57">
        <v>1</v>
      </c>
      <c r="F57">
        <v>12</v>
      </c>
      <c r="G57" s="11"/>
      <c r="H57">
        <v>21040</v>
      </c>
      <c r="I57">
        <v>1989</v>
      </c>
      <c r="J57">
        <v>2</v>
      </c>
      <c r="K57" s="51">
        <f>1.75+0.467*LN(43)</f>
        <v>3.5064804540288934</v>
      </c>
      <c r="L57" s="72">
        <v>0.163</v>
      </c>
      <c r="M57" s="12">
        <v>0.041</v>
      </c>
      <c r="N57" s="55">
        <v>-0.0006</v>
      </c>
      <c r="O57" s="10">
        <f t="shared" si="15"/>
        <v>4.707790140935346</v>
      </c>
      <c r="P57">
        <v>11.7</v>
      </c>
      <c r="Q57">
        <v>2447</v>
      </c>
      <c r="R57">
        <v>38.47</v>
      </c>
      <c r="S57" s="9">
        <v>3.6096</v>
      </c>
      <c r="T57">
        <v>7483</v>
      </c>
      <c r="U57">
        <v>3675</v>
      </c>
      <c r="V57" s="20">
        <f t="shared" si="16"/>
        <v>0.49111318989710007</v>
      </c>
      <c r="W57" s="12">
        <v>1.165677</v>
      </c>
      <c r="X57" s="13">
        <v>1990</v>
      </c>
      <c r="Y57">
        <v>7483</v>
      </c>
      <c r="Z57" s="16">
        <v>4.8</v>
      </c>
      <c r="AA57" s="32">
        <v>21</v>
      </c>
      <c r="AB57" s="41">
        <f t="shared" si="2"/>
        <v>439.91878966551235</v>
      </c>
      <c r="AC57" s="3">
        <v>1</v>
      </c>
      <c r="AD57" s="48">
        <v>60</v>
      </c>
      <c r="AE57" s="48">
        <v>20.82</v>
      </c>
      <c r="AF57">
        <v>-99</v>
      </c>
      <c r="AG57" s="11"/>
      <c r="AH57" s="3"/>
      <c r="AI57" s="3"/>
      <c r="AJ57" s="3">
        <v>43</v>
      </c>
      <c r="AK57" s="16"/>
      <c r="AL57" s="3" t="str">
        <f t="shared" si="10"/>
        <v>Guatemala</v>
      </c>
      <c r="AM57" s="46">
        <f t="shared" si="3"/>
        <v>439.91878966551235</v>
      </c>
      <c r="AN57" s="46">
        <f t="shared" si="4"/>
        <v>941.3609</v>
      </c>
      <c r="AO57" s="14">
        <f t="shared" si="5"/>
        <v>12.62905358920362</v>
      </c>
      <c r="AP57" s="14">
        <f t="shared" si="6"/>
        <v>1.5840739849944818</v>
      </c>
      <c r="AQ57" s="14">
        <f t="shared" si="7"/>
        <v>1.919375744308914</v>
      </c>
      <c r="AR57" s="14">
        <f t="shared" si="8"/>
        <v>3.6840032478413973</v>
      </c>
      <c r="AS57" t="s">
        <v>186</v>
      </c>
    </row>
    <row r="58" spans="1:45" ht="12.75">
      <c r="A58" t="s">
        <v>142</v>
      </c>
      <c r="B58" s="40">
        <v>488</v>
      </c>
      <c r="C58" s="38">
        <f t="shared" si="9"/>
        <v>327.57343627382744</v>
      </c>
      <c r="D58" s="3" t="s">
        <v>134</v>
      </c>
      <c r="E58">
        <v>1</v>
      </c>
      <c r="F58">
        <v>12</v>
      </c>
      <c r="G58" s="11"/>
      <c r="H58">
        <v>21050</v>
      </c>
      <c r="I58">
        <v>1989</v>
      </c>
      <c r="J58">
        <v>1</v>
      </c>
      <c r="K58" s="51">
        <f>2.856+0.26*LN(48)</f>
        <v>3.8625122628360513</v>
      </c>
      <c r="L58" s="70">
        <v>0.172</v>
      </c>
      <c r="M58" s="12">
        <v>0.058</v>
      </c>
      <c r="N58" s="55">
        <v>-0.0007</v>
      </c>
      <c r="O58" s="10">
        <f t="shared" si="15"/>
        <v>5.258856959809444</v>
      </c>
      <c r="P58">
        <v>7.9</v>
      </c>
      <c r="Q58">
        <v>1665</v>
      </c>
      <c r="R58">
        <v>42.13</v>
      </c>
      <c r="S58" s="9">
        <v>2.97</v>
      </c>
      <c r="T58">
        <v>4671</v>
      </c>
      <c r="U58">
        <v>4250</v>
      </c>
      <c r="V58" s="20">
        <f t="shared" si="16"/>
        <v>0.9098694069792336</v>
      </c>
      <c r="W58" s="12">
        <v>1.4213534</v>
      </c>
      <c r="X58" s="13">
        <v>1990</v>
      </c>
      <c r="Y58">
        <v>4671</v>
      </c>
      <c r="Z58" s="16">
        <v>6.1</v>
      </c>
      <c r="AA58" s="32">
        <v>20</v>
      </c>
      <c r="AB58" s="41">
        <f t="shared" si="2"/>
        <v>1323.5290354498088</v>
      </c>
      <c r="AC58" s="3">
        <v>1</v>
      </c>
      <c r="AD58" s="48">
        <v>62</v>
      </c>
      <c r="AE58">
        <v>27.74</v>
      </c>
      <c r="AF58">
        <v>-99</v>
      </c>
      <c r="AG58" s="11"/>
      <c r="AH58" s="3"/>
      <c r="AI58" s="3"/>
      <c r="AJ58" s="3">
        <v>48</v>
      </c>
      <c r="AK58" s="16"/>
      <c r="AL58" s="3" t="str">
        <f t="shared" si="10"/>
        <v>Honduras</v>
      </c>
      <c r="AM58" s="46">
        <f t="shared" si="3"/>
        <v>1323.5290354498088</v>
      </c>
      <c r="AN58" s="46">
        <f t="shared" si="4"/>
        <v>701.4644999999999</v>
      </c>
      <c r="AO58" s="14">
        <f t="shared" si="5"/>
        <v>18.991661226245522</v>
      </c>
      <c r="AP58" s="14">
        <f t="shared" si="6"/>
        <v>2.095935514494365</v>
      </c>
      <c r="AQ58" s="14">
        <f t="shared" si="7"/>
        <v>1.9897320869507038</v>
      </c>
      <c r="AR58" s="14">
        <f t="shared" si="8"/>
        <v>3.959033777841203</v>
      </c>
      <c r="AS58" t="s">
        <v>186</v>
      </c>
    </row>
    <row r="59" spans="1:45" ht="12.75">
      <c r="A59" t="s">
        <v>142</v>
      </c>
      <c r="B59" s="40">
        <v>384</v>
      </c>
      <c r="C59" s="38">
        <f t="shared" si="9"/>
        <v>235.0985207052123</v>
      </c>
      <c r="D59" s="3" t="s">
        <v>134</v>
      </c>
      <c r="E59">
        <v>1</v>
      </c>
      <c r="F59">
        <v>12</v>
      </c>
      <c r="G59" s="11"/>
      <c r="H59">
        <v>21050</v>
      </c>
      <c r="I59">
        <v>1989</v>
      </c>
      <c r="J59">
        <v>2</v>
      </c>
      <c r="K59" s="51">
        <f>1.548+0.475*LN(46)</f>
        <v>3.3666046633323203</v>
      </c>
      <c r="L59" s="70">
        <v>0.198</v>
      </c>
      <c r="M59" s="12">
        <v>0.049</v>
      </c>
      <c r="N59" s="55">
        <v>-0.0006</v>
      </c>
      <c r="O59" s="10">
        <f t="shared" si="15"/>
        <v>4.762949360305713</v>
      </c>
      <c r="P59">
        <v>7.9</v>
      </c>
      <c r="Q59">
        <v>1665</v>
      </c>
      <c r="R59">
        <v>42.13</v>
      </c>
      <c r="S59" s="9">
        <v>2.97</v>
      </c>
      <c r="T59">
        <v>4671</v>
      </c>
      <c r="U59">
        <v>4250</v>
      </c>
      <c r="V59" s="20">
        <f t="shared" si="16"/>
        <v>0.9098694069792336</v>
      </c>
      <c r="W59" s="12">
        <v>1.4213534</v>
      </c>
      <c r="X59" s="13">
        <v>1990</v>
      </c>
      <c r="Y59">
        <v>4671</v>
      </c>
      <c r="Z59" s="16">
        <v>7.1</v>
      </c>
      <c r="AA59" s="32">
        <v>18</v>
      </c>
      <c r="AB59" s="41">
        <f t="shared" si="2"/>
        <v>949.8930129503535</v>
      </c>
      <c r="AC59" s="3">
        <v>1</v>
      </c>
      <c r="AD59" s="48">
        <v>62</v>
      </c>
      <c r="AE59">
        <v>27.74</v>
      </c>
      <c r="AF59">
        <v>-99</v>
      </c>
      <c r="AG59" s="11"/>
      <c r="AH59" s="3"/>
      <c r="AI59" s="3"/>
      <c r="AJ59" s="3">
        <v>46</v>
      </c>
      <c r="AK59" s="16"/>
      <c r="AL59" s="3" t="str">
        <f t="shared" si="10"/>
        <v>Honduras</v>
      </c>
      <c r="AM59" s="46">
        <f t="shared" si="3"/>
        <v>949.8930129503535</v>
      </c>
      <c r="AN59" s="46">
        <f t="shared" si="4"/>
        <v>701.4644999999999</v>
      </c>
      <c r="AO59" s="14">
        <f t="shared" si="5"/>
        <v>22.555975054319838</v>
      </c>
      <c r="AP59" s="14">
        <f t="shared" si="6"/>
        <v>1.8589280418463423</v>
      </c>
      <c r="AQ59" s="14">
        <f t="shared" si="7"/>
        <v>2.2078076288406328</v>
      </c>
      <c r="AR59" s="14">
        <f t="shared" si="8"/>
        <v>4.8744145259668965</v>
      </c>
      <c r="AS59" t="s">
        <v>186</v>
      </c>
    </row>
    <row r="60" spans="1:45" ht="12.75">
      <c r="A60" t="s">
        <v>99</v>
      </c>
      <c r="B60" s="40">
        <v>7811</v>
      </c>
      <c r="C60" s="38">
        <f t="shared" si="9"/>
        <v>7856.798328516538</v>
      </c>
      <c r="D60" s="3" t="s">
        <v>38</v>
      </c>
      <c r="E60">
        <v>1</v>
      </c>
      <c r="F60">
        <v>12</v>
      </c>
      <c r="G60" s="11"/>
      <c r="H60">
        <v>45400</v>
      </c>
      <c r="I60">
        <v>1987</v>
      </c>
      <c r="J60">
        <v>1</v>
      </c>
      <c r="K60" s="51">
        <v>7.973</v>
      </c>
      <c r="L60" s="70">
        <v>0.0434</v>
      </c>
      <c r="M60" s="12">
        <v>0.0377</v>
      </c>
      <c r="N60" s="55">
        <v>-0.000661</v>
      </c>
      <c r="O60" s="10">
        <f aca="true" t="shared" si="17" ref="O60:O68">K60-LN(S60)+LN(F60)</f>
        <v>6.608397549749096</v>
      </c>
      <c r="P60">
        <v>32.3</v>
      </c>
      <c r="Q60">
        <v>5960</v>
      </c>
      <c r="R60">
        <v>41.25</v>
      </c>
      <c r="S60" s="3">
        <v>46.97</v>
      </c>
      <c r="T60">
        <v>11520</v>
      </c>
      <c r="U60">
        <v>-999.99</v>
      </c>
      <c r="V60" s="23">
        <f>$V$121+$V$122*T60</f>
        <v>0.8915639999999999</v>
      </c>
      <c r="W60" s="23">
        <f>V60/V7*W7</f>
        <v>2.3514889928533917</v>
      </c>
      <c r="X60" s="13">
        <v>1990</v>
      </c>
      <c r="Y60">
        <v>11314</v>
      </c>
      <c r="Z60" s="17">
        <v>11.31</v>
      </c>
      <c r="AA60" s="32">
        <v>21.53</v>
      </c>
      <c r="AB60" s="41">
        <f t="shared" si="2"/>
        <v>2007.2723002384166</v>
      </c>
      <c r="AC60" s="3">
        <v>1</v>
      </c>
      <c r="AD60" s="48">
        <v>127</v>
      </c>
      <c r="AE60" s="48">
        <v>3.61</v>
      </c>
      <c r="AF60">
        <v>13.59</v>
      </c>
      <c r="AG60" s="11"/>
      <c r="AH60" s="3"/>
      <c r="AI60" s="3"/>
      <c r="AJ60" s="3"/>
      <c r="AK60" s="16"/>
      <c r="AL60" s="3" t="str">
        <f t="shared" si="10"/>
        <v>Hungary</v>
      </c>
      <c r="AM60" s="46">
        <f t="shared" si="3"/>
        <v>2007.2723002384166</v>
      </c>
      <c r="AN60" s="46">
        <f t="shared" si="4"/>
        <v>2458.5</v>
      </c>
      <c r="AO60" s="14">
        <f t="shared" si="5"/>
        <v>2.7466994751002938</v>
      </c>
      <c r="AP60" s="14">
        <f t="shared" si="6"/>
        <v>1.4296075985399326</v>
      </c>
      <c r="AQ60" s="14">
        <f t="shared" si="7"/>
        <v>1.189579638785787</v>
      </c>
      <c r="AR60" s="14">
        <f t="shared" si="8"/>
        <v>1.4150997170137238</v>
      </c>
      <c r="AS60" t="s">
        <v>105</v>
      </c>
    </row>
    <row r="61" spans="1:46" ht="12.75">
      <c r="A61" t="s">
        <v>42</v>
      </c>
      <c r="B61" s="40">
        <v>5261</v>
      </c>
      <c r="C61" s="38">
        <f t="shared" si="9"/>
        <v>5975.959800702796</v>
      </c>
      <c r="D61" t="s">
        <v>43</v>
      </c>
      <c r="E61">
        <v>0</v>
      </c>
      <c r="F61">
        <v>1</v>
      </c>
      <c r="G61" s="11"/>
      <c r="H61">
        <v>52100</v>
      </c>
      <c r="I61">
        <v>1980</v>
      </c>
      <c r="J61">
        <v>1</v>
      </c>
      <c r="K61" s="51">
        <v>7.0339</v>
      </c>
      <c r="L61" s="70">
        <v>0.062</v>
      </c>
      <c r="M61" s="12">
        <v>0.041</v>
      </c>
      <c r="N61" s="55">
        <v>-0.0005</v>
      </c>
      <c r="O61" s="10">
        <f t="shared" si="17"/>
        <v>4.461287769792895</v>
      </c>
      <c r="P61">
        <v>5.7</v>
      </c>
      <c r="Q61">
        <v>683</v>
      </c>
      <c r="R61">
        <v>36.78</v>
      </c>
      <c r="S61" s="9">
        <v>13.1</v>
      </c>
      <c r="T61">
        <v>2292</v>
      </c>
      <c r="U61">
        <v>1514</v>
      </c>
      <c r="V61" s="20">
        <f aca="true" t="shared" si="18" ref="V61:V68">U61/T61</f>
        <v>0.6605584642233857</v>
      </c>
      <c r="W61" s="12">
        <v>1.3390704</v>
      </c>
      <c r="X61" s="13">
        <v>1980</v>
      </c>
      <c r="Y61">
        <v>2164</v>
      </c>
      <c r="Z61" s="21">
        <v>16.8</v>
      </c>
      <c r="AA61" s="75">
        <f>$AA$6</f>
        <v>20</v>
      </c>
      <c r="AB61" s="41">
        <f t="shared" si="2"/>
        <v>456.1801374582286</v>
      </c>
      <c r="AC61" s="26">
        <v>0</v>
      </c>
      <c r="AD61" s="48">
        <v>90</v>
      </c>
      <c r="AE61" s="48">
        <v>4.98</v>
      </c>
      <c r="AF61">
        <v>15.94</v>
      </c>
      <c r="AG61" s="11"/>
      <c r="AH61" s="3"/>
      <c r="AI61" s="3"/>
      <c r="AJ61" s="3"/>
      <c r="AK61" s="16"/>
      <c r="AL61" s="28" t="str">
        <f t="shared" si="10"/>
        <v>India</v>
      </c>
      <c r="AM61" s="46">
        <f t="shared" si="3"/>
        <v>456.1801374582286</v>
      </c>
      <c r="AN61" s="46">
        <f t="shared" si="4"/>
        <v>251.2074</v>
      </c>
      <c r="AO61" s="22">
        <f t="shared" si="5"/>
        <v>3.911809286149798</v>
      </c>
      <c r="AP61" s="22">
        <f t="shared" si="6"/>
        <v>1.6820276496988864</v>
      </c>
      <c r="AQ61" s="22">
        <f t="shared" si="7"/>
        <v>1.2814599321940212</v>
      </c>
      <c r="AR61" s="22">
        <f t="shared" si="8"/>
        <v>1.6421395578187052</v>
      </c>
      <c r="AS61" t="s">
        <v>44</v>
      </c>
      <c r="AT61" t="s">
        <v>273</v>
      </c>
    </row>
    <row r="62" spans="1:46" ht="12.75">
      <c r="A62" t="s">
        <v>42</v>
      </c>
      <c r="B62" s="40">
        <v>5261</v>
      </c>
      <c r="C62" s="38">
        <f t="shared" si="9"/>
        <v>5975.959800702796</v>
      </c>
      <c r="D62" t="s">
        <v>43</v>
      </c>
      <c r="E62">
        <v>0</v>
      </c>
      <c r="F62">
        <v>1</v>
      </c>
      <c r="G62" s="11"/>
      <c r="H62">
        <v>52100</v>
      </c>
      <c r="I62">
        <v>1980</v>
      </c>
      <c r="J62">
        <v>2</v>
      </c>
      <c r="K62" s="51">
        <v>7.0339</v>
      </c>
      <c r="L62" s="70">
        <v>0.062</v>
      </c>
      <c r="M62" s="12">
        <v>0.041</v>
      </c>
      <c r="N62" s="55">
        <v>-0.0005</v>
      </c>
      <c r="O62" s="10">
        <f t="shared" si="17"/>
        <v>4.461287769792895</v>
      </c>
      <c r="P62">
        <v>5.7</v>
      </c>
      <c r="Q62">
        <v>683</v>
      </c>
      <c r="R62">
        <v>36.78</v>
      </c>
      <c r="S62" s="9">
        <v>13.1</v>
      </c>
      <c r="T62">
        <v>2292</v>
      </c>
      <c r="U62">
        <v>1514</v>
      </c>
      <c r="V62" s="20">
        <f t="shared" si="18"/>
        <v>0.6605584642233857</v>
      </c>
      <c r="W62" s="12">
        <v>1.3390704</v>
      </c>
      <c r="X62" s="13">
        <v>1980</v>
      </c>
      <c r="Y62">
        <v>2164</v>
      </c>
      <c r="Z62" s="21">
        <v>16.8</v>
      </c>
      <c r="AA62" s="75">
        <f>$AA$6</f>
        <v>20</v>
      </c>
      <c r="AB62" s="41">
        <f t="shared" si="2"/>
        <v>456.1801374582286</v>
      </c>
      <c r="AC62" s="26">
        <v>0</v>
      </c>
      <c r="AD62" s="48">
        <v>90</v>
      </c>
      <c r="AE62" s="48">
        <v>4.98</v>
      </c>
      <c r="AF62">
        <v>-99</v>
      </c>
      <c r="AG62" s="11"/>
      <c r="AH62" s="3"/>
      <c r="AI62" s="3"/>
      <c r="AJ62" s="3"/>
      <c r="AK62" s="16"/>
      <c r="AL62" s="28" t="str">
        <f t="shared" si="10"/>
        <v>India</v>
      </c>
      <c r="AM62" s="46">
        <f t="shared" si="3"/>
        <v>456.1801374582286</v>
      </c>
      <c r="AN62" s="46">
        <f t="shared" si="4"/>
        <v>251.2074</v>
      </c>
      <c r="AO62" s="22">
        <f t="shared" si="5"/>
        <v>3.911809286149798</v>
      </c>
      <c r="AP62" s="22">
        <f t="shared" si="6"/>
        <v>1.6820276496988864</v>
      </c>
      <c r="AQ62" s="22">
        <f t="shared" si="7"/>
        <v>1.2814599321940212</v>
      </c>
      <c r="AR62" s="22">
        <f t="shared" si="8"/>
        <v>1.6421395578187052</v>
      </c>
      <c r="AS62" t="str">
        <f>AS61</f>
        <v>Rao/Datta (1989)</v>
      </c>
      <c r="AT62" t="s">
        <v>273</v>
      </c>
    </row>
    <row r="63" spans="1:46" ht="12.75">
      <c r="A63" t="s">
        <v>11</v>
      </c>
      <c r="B63" s="40"/>
      <c r="C63" s="38">
        <f t="shared" si="9"/>
        <v>35722.40397769929</v>
      </c>
      <c r="D63" t="s">
        <v>38</v>
      </c>
      <c r="E63">
        <v>1</v>
      </c>
      <c r="F63">
        <v>12</v>
      </c>
      <c r="G63" s="11"/>
      <c r="H63">
        <v>53400</v>
      </c>
      <c r="I63">
        <v>1983</v>
      </c>
      <c r="J63">
        <v>1</v>
      </c>
      <c r="K63" s="51">
        <f>9.09+0.9*0.2</f>
        <v>9.27</v>
      </c>
      <c r="L63" s="70">
        <v>0.0775</v>
      </c>
      <c r="M63" s="12">
        <v>0.0227</v>
      </c>
      <c r="N63" s="55">
        <v>-0.000297</v>
      </c>
      <c r="O63" s="10">
        <f t="shared" si="17"/>
        <v>7.737523128702028</v>
      </c>
      <c r="P63">
        <v>54</v>
      </c>
      <c r="Q63">
        <v>7805</v>
      </c>
      <c r="R63">
        <v>91.23</v>
      </c>
      <c r="S63" s="3">
        <f>5000/90</f>
        <v>55.55555555555556</v>
      </c>
      <c r="T63">
        <v>21959</v>
      </c>
      <c r="U63">
        <v>21449</v>
      </c>
      <c r="V63" s="20">
        <f t="shared" si="18"/>
        <v>0.976774898674803</v>
      </c>
      <c r="W63" s="12">
        <v>2.3892881</v>
      </c>
      <c r="X63" s="13">
        <v>1980</v>
      </c>
      <c r="Y63">
        <v>20307</v>
      </c>
      <c r="Z63" s="21">
        <f>2/3*10.8+1/3*12.4</f>
        <v>11.333333333333332</v>
      </c>
      <c r="AA63" s="75">
        <f>$AA$6</f>
        <v>20</v>
      </c>
      <c r="AB63" s="41">
        <f t="shared" si="2"/>
        <v>7716.03925918305</v>
      </c>
      <c r="AC63" s="75">
        <v>0</v>
      </c>
      <c r="AD63" s="48">
        <v>94</v>
      </c>
      <c r="AE63" s="48">
        <v>5.68</v>
      </c>
      <c r="AF63">
        <v>-99</v>
      </c>
      <c r="AG63" s="11"/>
      <c r="AH63" s="3"/>
      <c r="AI63" s="3"/>
      <c r="AJ63" s="3"/>
      <c r="AK63" s="16"/>
      <c r="AL63" s="3" t="str">
        <f t="shared" si="10"/>
        <v>Israel</v>
      </c>
      <c r="AM63" s="46">
        <f t="shared" si="3"/>
        <v>7716.03925918305</v>
      </c>
      <c r="AN63" s="46">
        <f t="shared" si="4"/>
        <v>7120.5015</v>
      </c>
      <c r="AO63" s="14">
        <f t="shared" si="5"/>
        <v>3.543801425522782</v>
      </c>
      <c r="AP63" s="14">
        <f t="shared" si="6"/>
        <v>1.317584320809698</v>
      </c>
      <c r="AQ63" s="14">
        <f t="shared" si="7"/>
        <v>1.3634251141321778</v>
      </c>
      <c r="AR63" s="14">
        <f t="shared" si="8"/>
        <v>1.858928041846342</v>
      </c>
      <c r="AS63" t="s">
        <v>130</v>
      </c>
      <c r="AT63" t="s">
        <v>274</v>
      </c>
    </row>
    <row r="64" spans="1:45" ht="12.75">
      <c r="A64" t="s">
        <v>11</v>
      </c>
      <c r="B64" s="40">
        <v>28546</v>
      </c>
      <c r="C64" s="38">
        <f t="shared" si="9"/>
        <v>27481.34171802463</v>
      </c>
      <c r="D64" t="s">
        <v>117</v>
      </c>
      <c r="E64">
        <v>1</v>
      </c>
      <c r="F64" s="3">
        <v>1</v>
      </c>
      <c r="G64" s="11"/>
      <c r="H64">
        <v>53400</v>
      </c>
      <c r="I64">
        <v>1979</v>
      </c>
      <c r="J64">
        <v>1</v>
      </c>
      <c r="K64" s="51">
        <v>9.004</v>
      </c>
      <c r="L64" s="70">
        <v>0.064</v>
      </c>
      <c r="M64" s="12">
        <v>0.034</v>
      </c>
      <c r="N64" s="55">
        <v>-0.000534</v>
      </c>
      <c r="O64" s="10">
        <f t="shared" si="17"/>
        <v>7.741286700651464</v>
      </c>
      <c r="P64">
        <v>46.4</v>
      </c>
      <c r="Q64">
        <v>5130</v>
      </c>
      <c r="R64">
        <v>98.27</v>
      </c>
      <c r="S64" s="3">
        <v>3.535</v>
      </c>
      <c r="T64">
        <v>20307</v>
      </c>
      <c r="U64">
        <v>21179</v>
      </c>
      <c r="V64" s="20">
        <f t="shared" si="18"/>
        <v>1.0429408578322745</v>
      </c>
      <c r="W64" s="12">
        <v>2.3892881</v>
      </c>
      <c r="X64" s="13">
        <v>1980</v>
      </c>
      <c r="Y64">
        <v>20307</v>
      </c>
      <c r="Z64" s="17">
        <v>11.16</v>
      </c>
      <c r="AA64" s="32">
        <v>23.38</v>
      </c>
      <c r="AB64" s="41">
        <f t="shared" si="2"/>
        <v>7774.0712073619825</v>
      </c>
      <c r="AC64" s="3">
        <v>1</v>
      </c>
      <c r="AD64" s="48">
        <v>94</v>
      </c>
      <c r="AE64" s="48">
        <f>AE63</f>
        <v>5.68</v>
      </c>
      <c r="AF64">
        <v>-99</v>
      </c>
      <c r="AG64" s="11"/>
      <c r="AH64" s="3"/>
      <c r="AI64" s="3"/>
      <c r="AJ64" s="3"/>
      <c r="AK64" s="16"/>
      <c r="AL64" s="3" t="str">
        <f t="shared" si="10"/>
        <v>Israel</v>
      </c>
      <c r="AM64" s="46">
        <f t="shared" si="3"/>
        <v>7774.0712073619825</v>
      </c>
      <c r="AN64" s="46">
        <f t="shared" si="4"/>
        <v>5041.251</v>
      </c>
      <c r="AO64" s="14">
        <f t="shared" si="5"/>
        <v>3.436316112377072</v>
      </c>
      <c r="AP64" s="14">
        <f t="shared" si="6"/>
        <v>1.432756197445582</v>
      </c>
      <c r="AQ64" s="14">
        <f t="shared" si="7"/>
        <v>1.291752727939704</v>
      </c>
      <c r="AR64" s="14">
        <f t="shared" si="8"/>
        <v>1.668625110139667</v>
      </c>
      <c r="AS64" t="s">
        <v>102</v>
      </c>
    </row>
    <row r="65" spans="1:45" ht="12.75">
      <c r="A65" t="s">
        <v>11</v>
      </c>
      <c r="B65" s="40">
        <v>18.8</v>
      </c>
      <c r="C65" s="38">
        <f t="shared" si="9"/>
        <v>14.87414588072617</v>
      </c>
      <c r="D65" t="s">
        <v>55</v>
      </c>
      <c r="E65">
        <v>1</v>
      </c>
      <c r="F65" s="3">
        <f>3865/18.8*12</f>
        <v>2467.021276595745</v>
      </c>
      <c r="G65" s="11"/>
      <c r="H65">
        <v>53400</v>
      </c>
      <c r="I65">
        <v>1991</v>
      </c>
      <c r="J65">
        <v>1</v>
      </c>
      <c r="K65" s="51">
        <f>1.2726-0.0614</f>
        <v>1.2112</v>
      </c>
      <c r="L65" s="70">
        <v>0.0728</v>
      </c>
      <c r="M65" s="12">
        <v>0.0451</v>
      </c>
      <c r="N65" s="55">
        <v>-0.0007</v>
      </c>
      <c r="O65" s="10">
        <f t="shared" si="17"/>
        <v>8.198229990710072</v>
      </c>
      <c r="P65">
        <v>54.1</v>
      </c>
      <c r="Q65">
        <v>12007</v>
      </c>
      <c r="R65">
        <v>106.14</v>
      </c>
      <c r="S65" s="3">
        <v>2.279</v>
      </c>
      <c r="T65">
        <v>21453</v>
      </c>
      <c r="U65">
        <v>20809</v>
      </c>
      <c r="V65" s="20">
        <f t="shared" si="18"/>
        <v>0.9699808884538293</v>
      </c>
      <c r="W65" s="12">
        <v>2.3892881</v>
      </c>
      <c r="X65" s="13">
        <v>1990</v>
      </c>
      <c r="Y65">
        <v>21453</v>
      </c>
      <c r="Z65" s="17">
        <v>12.58</v>
      </c>
      <c r="AA65" s="32">
        <v>17.39</v>
      </c>
      <c r="AB65" s="41">
        <f t="shared" si="2"/>
        <v>16101.287564256425</v>
      </c>
      <c r="AC65" s="3">
        <v>1</v>
      </c>
      <c r="AD65" s="48">
        <v>94</v>
      </c>
      <c r="AE65" s="48">
        <f>AE64</f>
        <v>5.68</v>
      </c>
      <c r="AF65">
        <v>-99</v>
      </c>
      <c r="AG65" s="11"/>
      <c r="AH65" s="3"/>
      <c r="AI65" s="3"/>
      <c r="AJ65" s="3"/>
      <c r="AK65" s="16"/>
      <c r="AL65" s="3" t="str">
        <f t="shared" si="10"/>
        <v>Israel</v>
      </c>
      <c r="AM65" s="46">
        <f t="shared" si="3"/>
        <v>16101.287564256425</v>
      </c>
      <c r="AN65" s="46">
        <f>Q65*R65/100</f>
        <v>12744.2298</v>
      </c>
      <c r="AO65" s="14">
        <f>EXP(L65*12+20*M65+400*N65)</f>
        <v>4.462012957620674</v>
      </c>
      <c r="AP65" s="14">
        <f>EXP(M65*25+N65*25^2)/EXP(M65*5+N65*25)</f>
        <v>1.6193097853019272</v>
      </c>
      <c r="AQ65" s="14">
        <f>EXP(L65*4)</f>
        <v>1.3380321636239008</v>
      </c>
      <c r="AR65" s="14">
        <f>EXP(L65*8)</f>
        <v>1.7903300708920569</v>
      </c>
      <c r="AS65" t="s">
        <v>190</v>
      </c>
    </row>
    <row r="66" spans="1:46" ht="12.75">
      <c r="A66" t="s">
        <v>87</v>
      </c>
      <c r="B66" s="40">
        <f>623223/12</f>
        <v>51935.25</v>
      </c>
      <c r="C66" s="38">
        <f t="shared" si="9"/>
        <v>425640.03555981047</v>
      </c>
      <c r="D66" t="s">
        <v>88</v>
      </c>
      <c r="E66">
        <v>1</v>
      </c>
      <c r="F66">
        <v>12</v>
      </c>
      <c r="G66" s="11"/>
      <c r="H66">
        <v>43400</v>
      </c>
      <c r="I66">
        <v>1987</v>
      </c>
      <c r="J66">
        <v>1</v>
      </c>
      <c r="K66" s="51">
        <v>12.809</v>
      </c>
      <c r="L66" s="70">
        <v>0.0228</v>
      </c>
      <c r="M66" s="76">
        <v>-0.0055</v>
      </c>
      <c r="N66" s="55">
        <v>-6.1E-05</v>
      </c>
      <c r="O66" s="10">
        <f t="shared" si="17"/>
        <v>8.12686877287578</v>
      </c>
      <c r="P66">
        <v>67.3</v>
      </c>
      <c r="Q66">
        <v>12406</v>
      </c>
      <c r="R66">
        <v>106.72</v>
      </c>
      <c r="S66" s="3">
        <v>1296</v>
      </c>
      <c r="T66">
        <v>28589</v>
      </c>
      <c r="U66">
        <v>29217</v>
      </c>
      <c r="V66" s="20">
        <f t="shared" si="18"/>
        <v>1.021966490608276</v>
      </c>
      <c r="W66" s="12">
        <v>2.9309381</v>
      </c>
      <c r="X66" s="13">
        <v>1990</v>
      </c>
      <c r="Y66">
        <v>30321</v>
      </c>
      <c r="Z66" s="17">
        <v>10.72</v>
      </c>
      <c r="AA66" s="32">
        <v>14.43</v>
      </c>
      <c r="AB66" s="41">
        <f t="shared" si="2"/>
        <v>3941.1114403686142</v>
      </c>
      <c r="AC66" s="26">
        <v>0</v>
      </c>
      <c r="AD66" s="48">
        <v>130</v>
      </c>
      <c r="AE66" s="48">
        <v>4.94</v>
      </c>
      <c r="AF66">
        <v>10.9</v>
      </c>
      <c r="AG66" s="11"/>
      <c r="AH66" s="3"/>
      <c r="AI66" s="3"/>
      <c r="AJ66" s="3"/>
      <c r="AK66" s="16"/>
      <c r="AL66" s="28" t="str">
        <f t="shared" si="10"/>
        <v>Italy</v>
      </c>
      <c r="AM66" s="46">
        <f t="shared" si="3"/>
        <v>3941.1114403686142</v>
      </c>
      <c r="AN66" s="46">
        <f t="shared" si="4"/>
        <v>13239.683200000001</v>
      </c>
      <c r="AO66" s="22">
        <f t="shared" si="5"/>
        <v>1.14935394780762</v>
      </c>
      <c r="AP66" s="30">
        <f t="shared" si="6"/>
        <v>0.8636393640800135</v>
      </c>
      <c r="AQ66" s="22">
        <f t="shared" si="7"/>
        <v>1.0954880809663576</v>
      </c>
      <c r="AR66" s="22">
        <f t="shared" si="8"/>
        <v>1.2000941355393528</v>
      </c>
      <c r="AS66" t="s">
        <v>105</v>
      </c>
      <c r="AT66" s="15" t="s">
        <v>275</v>
      </c>
    </row>
    <row r="67" spans="1:46" ht="12.75">
      <c r="A67" t="s">
        <v>132</v>
      </c>
      <c r="B67" s="40">
        <v>9829</v>
      </c>
      <c r="C67" s="39">
        <f t="shared" si="9"/>
        <v>301.88344297175627</v>
      </c>
      <c r="D67" t="s">
        <v>117</v>
      </c>
      <c r="E67">
        <v>1</v>
      </c>
      <c r="F67">
        <v>1</v>
      </c>
      <c r="G67" s="11"/>
      <c r="H67">
        <v>26030</v>
      </c>
      <c r="I67">
        <v>1989</v>
      </c>
      <c r="J67">
        <v>1</v>
      </c>
      <c r="K67" s="51">
        <f>2.76+0.135*LN(5.5)</f>
        <v>2.9901409924521873</v>
      </c>
      <c r="L67" s="81">
        <v>0.28</v>
      </c>
      <c r="M67" s="33">
        <v>0.083</v>
      </c>
      <c r="N67" s="55">
        <v>-0.0011</v>
      </c>
      <c r="O67" s="10">
        <f t="shared" si="17"/>
        <v>1.2418110811514682</v>
      </c>
      <c r="P67">
        <v>14.4</v>
      </c>
      <c r="Q67">
        <v>3024</v>
      </c>
      <c r="R67">
        <v>56.12</v>
      </c>
      <c r="S67" s="3">
        <v>5.745</v>
      </c>
      <c r="T67">
        <v>5178</v>
      </c>
      <c r="U67">
        <v>3424</v>
      </c>
      <c r="V67" s="20">
        <f t="shared" si="18"/>
        <v>0.6612591734260332</v>
      </c>
      <c r="W67" s="12">
        <v>3.030354</v>
      </c>
      <c r="X67" s="13">
        <v>1990</v>
      </c>
      <c r="Y67">
        <v>5178</v>
      </c>
      <c r="Z67" s="17">
        <v>5.5</v>
      </c>
      <c r="AA67" s="32">
        <v>19</v>
      </c>
      <c r="AB67" s="45">
        <f t="shared" si="2"/>
        <v>52.5471615268505</v>
      </c>
      <c r="AC67" s="26">
        <v>0</v>
      </c>
      <c r="AD67" s="48">
        <v>63</v>
      </c>
      <c r="AE67" s="48">
        <v>8.75</v>
      </c>
      <c r="AF67">
        <v>11.97</v>
      </c>
      <c r="AG67" s="11"/>
      <c r="AH67" s="3"/>
      <c r="AI67" s="3"/>
      <c r="AJ67" s="3"/>
      <c r="AK67" s="16">
        <v>5.5</v>
      </c>
      <c r="AL67" s="28" t="str">
        <f t="shared" si="10"/>
        <v>Jamaica</v>
      </c>
      <c r="AM67" s="46">
        <f t="shared" si="3"/>
        <v>52.5471615268505</v>
      </c>
      <c r="AN67" s="46">
        <f t="shared" si="4"/>
        <v>1697.0688</v>
      </c>
      <c r="AO67" s="30">
        <f t="shared" si="5"/>
        <v>97.51439420705401</v>
      </c>
      <c r="AP67" s="22">
        <f t="shared" si="6"/>
        <v>2.718281828459046</v>
      </c>
      <c r="AQ67" s="22">
        <f t="shared" si="7"/>
        <v>3.0648542032930024</v>
      </c>
      <c r="AR67" s="22">
        <f t="shared" si="8"/>
        <v>9.393331287442784</v>
      </c>
      <c r="AS67" t="s">
        <v>186</v>
      </c>
      <c r="AT67" s="15" t="s">
        <v>275</v>
      </c>
    </row>
    <row r="68" spans="1:46" ht="12.75">
      <c r="A68" t="s">
        <v>132</v>
      </c>
      <c r="B68" s="40">
        <v>1047</v>
      </c>
      <c r="C68" s="39">
        <f t="shared" si="9"/>
        <v>131.76267484927467</v>
      </c>
      <c r="D68" t="s">
        <v>117</v>
      </c>
      <c r="E68">
        <v>1</v>
      </c>
      <c r="F68">
        <v>1</v>
      </c>
      <c r="G68" s="11"/>
      <c r="H68">
        <v>26030</v>
      </c>
      <c r="I68">
        <v>1989</v>
      </c>
      <c r="J68">
        <v>2</v>
      </c>
      <c r="K68" s="51">
        <f>1.445+0.781*LN(5.2)</f>
        <v>2.7326023865837454</v>
      </c>
      <c r="L68" s="81">
        <v>0.317</v>
      </c>
      <c r="M68" s="33">
        <v>0.039</v>
      </c>
      <c r="N68" s="55">
        <v>-0.0007</v>
      </c>
      <c r="O68" s="10">
        <f t="shared" si="17"/>
        <v>0.9842724752830263</v>
      </c>
      <c r="P68">
        <v>14.4</v>
      </c>
      <c r="Q68">
        <v>3024</v>
      </c>
      <c r="R68">
        <v>56.12</v>
      </c>
      <c r="S68" s="3">
        <v>5.745</v>
      </c>
      <c r="T68">
        <v>5178</v>
      </c>
      <c r="U68">
        <v>3424</v>
      </c>
      <c r="V68" s="20">
        <f t="shared" si="18"/>
        <v>0.6612591734260332</v>
      </c>
      <c r="W68" s="12">
        <v>3.030354</v>
      </c>
      <c r="X68" s="13">
        <v>1990</v>
      </c>
      <c r="Y68">
        <v>5178</v>
      </c>
      <c r="Z68" s="17">
        <v>5.2</v>
      </c>
      <c r="AA68" s="32">
        <v>20</v>
      </c>
      <c r="AB68" s="45">
        <f t="shared" si="2"/>
        <v>22.93519144460832</v>
      </c>
      <c r="AC68" s="26">
        <v>0</v>
      </c>
      <c r="AD68" s="48">
        <v>63</v>
      </c>
      <c r="AE68" s="48">
        <v>8.75</v>
      </c>
      <c r="AF68">
        <v>-99</v>
      </c>
      <c r="AG68" s="11"/>
      <c r="AH68" s="3"/>
      <c r="AI68" s="3"/>
      <c r="AJ68" s="3"/>
      <c r="AK68" s="16">
        <v>5.2</v>
      </c>
      <c r="AL68" s="28" t="str">
        <f t="shared" si="10"/>
        <v>Jamaica</v>
      </c>
      <c r="AM68" s="46">
        <f t="shared" si="3"/>
        <v>22.93519144460832</v>
      </c>
      <c r="AN68" s="46">
        <f t="shared" si="4"/>
        <v>1697.0688</v>
      </c>
      <c r="AO68" s="30">
        <f t="shared" si="5"/>
        <v>73.99518325966169</v>
      </c>
      <c r="AP68" s="22">
        <f t="shared" si="6"/>
        <v>1.4333294145603401</v>
      </c>
      <c r="AQ68" s="22">
        <f t="shared" si="7"/>
        <v>3.5537379741905037</v>
      </c>
      <c r="AR68" s="22">
        <f t="shared" si="8"/>
        <v>12.629053589203625</v>
      </c>
      <c r="AS68" t="s">
        <v>186</v>
      </c>
      <c r="AT68" s="15" t="s">
        <v>275</v>
      </c>
    </row>
    <row r="69" spans="1:46" ht="12.75">
      <c r="A69" t="s">
        <v>48</v>
      </c>
      <c r="B69" s="77">
        <v>5.698</v>
      </c>
      <c r="C69" s="38">
        <f t="shared" si="9"/>
        <v>299.11855505382124</v>
      </c>
      <c r="D69" t="s">
        <v>49</v>
      </c>
      <c r="E69">
        <v>1</v>
      </c>
      <c r="F69">
        <v>2000</v>
      </c>
      <c r="G69" s="11"/>
      <c r="H69">
        <v>50100</v>
      </c>
      <c r="I69">
        <v>1975</v>
      </c>
      <c r="J69">
        <v>2</v>
      </c>
      <c r="K69" s="51">
        <v>4.833</v>
      </c>
      <c r="L69" s="70">
        <v>0.0646</v>
      </c>
      <c r="M69" s="12">
        <v>0.007</v>
      </c>
      <c r="N69" s="55">
        <v>0</v>
      </c>
      <c r="O69" s="88">
        <f aca="true" t="shared" si="19" ref="O69:O75">K69-LN(S69)+LN(F69)</f>
        <v>6.740843948248857</v>
      </c>
      <c r="P69" s="48">
        <v>62.1</v>
      </c>
      <c r="Q69" s="48">
        <v>4567</v>
      </c>
      <c r="R69" s="48">
        <v>97.74</v>
      </c>
      <c r="S69" s="89">
        <v>296.8</v>
      </c>
      <c r="T69" s="48">
        <v>13381</v>
      </c>
      <c r="U69">
        <v>16400</v>
      </c>
      <c r="V69" s="20">
        <f aca="true" t="shared" si="20" ref="V69:V76">U69/T69</f>
        <v>1.2256184141693447</v>
      </c>
      <c r="W69" s="12">
        <v>3.1394528</v>
      </c>
      <c r="X69" s="13">
        <v>1980</v>
      </c>
      <c r="Y69">
        <v>15733</v>
      </c>
      <c r="Z69" s="16">
        <v>11.1</v>
      </c>
      <c r="AA69" s="32">
        <v>21.54</v>
      </c>
      <c r="AB69" s="41">
        <f t="shared" si="2"/>
        <v>2015.6236863465042</v>
      </c>
      <c r="AC69" s="3">
        <v>1</v>
      </c>
      <c r="AD69" s="48">
        <v>95</v>
      </c>
      <c r="AE69" s="48">
        <v>7.06</v>
      </c>
      <c r="AF69">
        <v>-99</v>
      </c>
      <c r="AG69" s="11"/>
      <c r="AH69" s="3"/>
      <c r="AI69" s="3"/>
      <c r="AJ69" s="3"/>
      <c r="AK69" s="16"/>
      <c r="AL69" s="3" t="str">
        <f t="shared" si="10"/>
        <v>Japan</v>
      </c>
      <c r="AM69" s="46">
        <f t="shared" si="3"/>
        <v>2015.6236863465042</v>
      </c>
      <c r="AN69" s="90">
        <f t="shared" si="4"/>
        <v>4463.7858</v>
      </c>
      <c r="AO69" s="14">
        <f t="shared" si="5"/>
        <v>2.4972746568941036</v>
      </c>
      <c r="AP69" s="14">
        <f t="shared" si="6"/>
        <v>1.1502737988572271</v>
      </c>
      <c r="AQ69" s="14">
        <f t="shared" si="7"/>
        <v>1.2948566577126006</v>
      </c>
      <c r="AR69" s="14">
        <f t="shared" si="8"/>
        <v>1.6766537640226469</v>
      </c>
      <c r="AS69" t="s">
        <v>50</v>
      </c>
      <c r="AT69" t="s">
        <v>281</v>
      </c>
    </row>
    <row r="70" spans="1:46" ht="12.75">
      <c r="A70" s="7" t="s">
        <v>58</v>
      </c>
      <c r="B70" s="40"/>
      <c r="C70" s="38">
        <f t="shared" si="9"/>
        <v>7.127781243835722</v>
      </c>
      <c r="D70" t="s">
        <v>55</v>
      </c>
      <c r="E70">
        <v>1</v>
      </c>
      <c r="F70">
        <v>1</v>
      </c>
      <c r="G70" s="11"/>
      <c r="H70">
        <v>50200</v>
      </c>
      <c r="I70">
        <v>1982</v>
      </c>
      <c r="J70">
        <v>1</v>
      </c>
      <c r="K70" s="99"/>
      <c r="L70" s="70">
        <v>0.114</v>
      </c>
      <c r="M70" s="12">
        <v>0.08</v>
      </c>
      <c r="N70" s="55">
        <v>-0.00137</v>
      </c>
      <c r="O70" s="10"/>
      <c r="S70" s="11"/>
      <c r="V70" s="20" t="e">
        <f t="shared" si="20"/>
        <v>#DIV/0!</v>
      </c>
      <c r="W70" s="20"/>
      <c r="X70" s="13">
        <v>1980</v>
      </c>
      <c r="Y70" s="13"/>
      <c r="Z70" s="16">
        <v>8</v>
      </c>
      <c r="AA70" s="32">
        <f>$AA$6</f>
        <v>20</v>
      </c>
      <c r="AB70" s="41">
        <f t="shared" si="2"/>
        <v>7.127781243835722</v>
      </c>
      <c r="AC70" s="3">
        <v>0</v>
      </c>
      <c r="AD70" s="48">
        <v>97</v>
      </c>
      <c r="AE70" s="19"/>
      <c r="AF70">
        <v>-99</v>
      </c>
      <c r="AG70" s="11"/>
      <c r="AH70" s="3"/>
      <c r="AI70" s="3"/>
      <c r="AJ70" s="3"/>
      <c r="AK70" s="16"/>
      <c r="AL70" s="3" t="str">
        <f t="shared" si="10"/>
        <v>Korea</v>
      </c>
      <c r="AM70" s="46">
        <f aca="true" t="shared" si="21" ref="AM70:AM116">AB70</f>
        <v>7.127781243835722</v>
      </c>
      <c r="AN70" s="46">
        <f aca="true" t="shared" si="22" ref="AN70:AN116">Q70*R70/100</f>
        <v>0</v>
      </c>
      <c r="AO70" s="14">
        <f aca="true" t="shared" si="23" ref="AO70:AO116">EXP(L70*12+20*M70+400*N70)</f>
        <v>11.245859314881844</v>
      </c>
      <c r="AP70" s="14">
        <f aca="true" t="shared" si="24" ref="AP70:AP116">EXP(M70*25+N70*25^2)/EXP(M70*5+N70*25)</f>
        <v>2.1771136810045597</v>
      </c>
      <c r="AQ70" s="14">
        <f aca="true" t="shared" si="25" ref="AQ70:AQ116">EXP(L70*4)</f>
        <v>1.577750344766478</v>
      </c>
      <c r="AR70" s="14">
        <f aca="true" t="shared" si="26" ref="AR70:AR116">EXP(L70*8)</f>
        <v>2.48929615041074</v>
      </c>
      <c r="AS70" t="s">
        <v>59</v>
      </c>
      <c r="AT70" t="s">
        <v>60</v>
      </c>
    </row>
    <row r="71" spans="1:45" ht="12.75">
      <c r="A71" s="7" t="s">
        <v>58</v>
      </c>
      <c r="B71" s="40"/>
      <c r="C71" s="38">
        <f t="shared" si="9"/>
        <v>3.400763618223851</v>
      </c>
      <c r="D71" t="s">
        <v>55</v>
      </c>
      <c r="E71">
        <v>1</v>
      </c>
      <c r="F71">
        <v>1</v>
      </c>
      <c r="G71" s="11"/>
      <c r="H71">
        <v>50200</v>
      </c>
      <c r="I71">
        <v>1982</v>
      </c>
      <c r="J71">
        <v>2</v>
      </c>
      <c r="K71" s="99"/>
      <c r="L71" s="70">
        <v>0.102</v>
      </c>
      <c r="M71" s="12">
        <v>0.041</v>
      </c>
      <c r="N71" s="55">
        <v>-0.00103</v>
      </c>
      <c r="O71" s="10"/>
      <c r="S71" s="11"/>
      <c r="V71" s="20" t="e">
        <f t="shared" si="20"/>
        <v>#DIV/0!</v>
      </c>
      <c r="W71" s="20"/>
      <c r="X71" s="13">
        <v>1980</v>
      </c>
      <c r="Y71" s="13"/>
      <c r="Z71" s="16">
        <v>8</v>
      </c>
      <c r="AA71" s="32">
        <f>$AA$6</f>
        <v>20</v>
      </c>
      <c r="AB71" s="41">
        <f aca="true" t="shared" si="27" ref="AB71:AB116">EXP(O71+L71*Z71+M71*AA71+N71*AA71^2)</f>
        <v>3.400763618223851</v>
      </c>
      <c r="AC71" s="3">
        <v>0</v>
      </c>
      <c r="AD71" s="48">
        <v>97</v>
      </c>
      <c r="AE71" s="19"/>
      <c r="AF71">
        <v>-99</v>
      </c>
      <c r="AG71" s="11"/>
      <c r="AH71" s="3"/>
      <c r="AI71" s="3"/>
      <c r="AJ71" s="3"/>
      <c r="AK71" s="16"/>
      <c r="AL71" s="3" t="str">
        <f t="shared" si="10"/>
        <v>Korea</v>
      </c>
      <c r="AM71" s="46">
        <f t="shared" si="21"/>
        <v>3.400763618223851</v>
      </c>
      <c r="AN71" s="46">
        <f t="shared" si="22"/>
        <v>0</v>
      </c>
      <c r="AO71" s="14">
        <f t="shared" si="23"/>
        <v>5.114092682531807</v>
      </c>
      <c r="AP71" s="14">
        <f t="shared" si="24"/>
        <v>1.223848008111358</v>
      </c>
      <c r="AQ71" s="14">
        <f t="shared" si="25"/>
        <v>1.5038071611701118</v>
      </c>
      <c r="AR71" s="14">
        <f t="shared" si="26"/>
        <v>2.2614359779865105</v>
      </c>
      <c r="AS71" t="s">
        <v>59</v>
      </c>
    </row>
    <row r="72" spans="1:45" ht="12.75">
      <c r="A72" s="7" t="s">
        <v>58</v>
      </c>
      <c r="B72" s="40"/>
      <c r="C72" s="38">
        <f t="shared" si="9"/>
        <v>5.88731478603419</v>
      </c>
      <c r="D72" t="s">
        <v>55</v>
      </c>
      <c r="E72">
        <v>1</v>
      </c>
      <c r="F72">
        <v>1</v>
      </c>
      <c r="G72" s="11"/>
      <c r="H72">
        <v>50200</v>
      </c>
      <c r="I72">
        <v>1988</v>
      </c>
      <c r="J72">
        <v>1</v>
      </c>
      <c r="K72" s="99"/>
      <c r="L72" s="70">
        <v>0.0971</v>
      </c>
      <c r="M72" s="12">
        <v>0.076</v>
      </c>
      <c r="N72" s="55">
        <v>-0.00131</v>
      </c>
      <c r="O72" s="10"/>
      <c r="S72" s="11"/>
      <c r="V72" s="20" t="e">
        <f t="shared" si="20"/>
        <v>#DIV/0!</v>
      </c>
      <c r="W72" s="20"/>
      <c r="X72" s="13">
        <v>1990</v>
      </c>
      <c r="Y72" s="13"/>
      <c r="Z72" s="16">
        <v>8</v>
      </c>
      <c r="AA72" s="32">
        <f>$AA$6</f>
        <v>20</v>
      </c>
      <c r="AB72" s="41">
        <f t="shared" si="27"/>
        <v>5.88731478603419</v>
      </c>
      <c r="AC72" s="3">
        <v>0</v>
      </c>
      <c r="AD72" s="48">
        <v>97</v>
      </c>
      <c r="AE72" s="19"/>
      <c r="AF72">
        <v>-99</v>
      </c>
      <c r="AG72" s="11"/>
      <c r="AH72" s="3"/>
      <c r="AI72" s="3"/>
      <c r="AJ72" s="3"/>
      <c r="AK72" s="16"/>
      <c r="AL72" s="3" t="str">
        <f t="shared" si="10"/>
        <v>Korea</v>
      </c>
      <c r="AM72" s="46">
        <f t="shared" si="21"/>
        <v>5.88731478603419</v>
      </c>
      <c r="AN72" s="46">
        <f t="shared" si="22"/>
        <v>0</v>
      </c>
      <c r="AO72" s="14">
        <f t="shared" si="23"/>
        <v>8.681549269370763</v>
      </c>
      <c r="AP72" s="14">
        <f t="shared" si="24"/>
        <v>2.083397552906025</v>
      </c>
      <c r="AQ72" s="14">
        <f t="shared" si="25"/>
        <v>1.4746195141399643</v>
      </c>
      <c r="AR72" s="14">
        <f t="shared" si="26"/>
        <v>2.174502711482384</v>
      </c>
      <c r="AS72" t="s">
        <v>59</v>
      </c>
    </row>
    <row r="73" spans="1:45" ht="12.75">
      <c r="A73" s="7" t="s">
        <v>58</v>
      </c>
      <c r="B73" s="40"/>
      <c r="C73" s="38">
        <f t="shared" si="9"/>
        <v>2.4497843493276594</v>
      </c>
      <c r="D73" t="s">
        <v>55</v>
      </c>
      <c r="E73">
        <v>1</v>
      </c>
      <c r="F73">
        <v>1</v>
      </c>
      <c r="G73" s="11"/>
      <c r="H73">
        <v>50200</v>
      </c>
      <c r="I73">
        <v>1988</v>
      </c>
      <c r="J73">
        <v>2</v>
      </c>
      <c r="K73" s="99"/>
      <c r="L73" s="70">
        <v>0.065</v>
      </c>
      <c r="M73" s="12">
        <v>0.036</v>
      </c>
      <c r="N73" s="55">
        <v>-0.00086</v>
      </c>
      <c r="O73" s="10"/>
      <c r="S73" s="11"/>
      <c r="V73" s="20" t="e">
        <f t="shared" si="20"/>
        <v>#DIV/0!</v>
      </c>
      <c r="W73" s="20"/>
      <c r="X73" s="13">
        <v>1990</v>
      </c>
      <c r="Y73" s="13"/>
      <c r="Z73" s="16">
        <v>8</v>
      </c>
      <c r="AA73" s="32">
        <f>$AA$6</f>
        <v>20</v>
      </c>
      <c r="AB73" s="41">
        <f t="shared" si="27"/>
        <v>2.4497843493276594</v>
      </c>
      <c r="AC73" s="3">
        <v>0</v>
      </c>
      <c r="AD73" s="48">
        <v>97</v>
      </c>
      <c r="AE73" s="19"/>
      <c r="AF73">
        <v>-99</v>
      </c>
      <c r="AG73" s="11"/>
      <c r="AH73" s="3"/>
      <c r="AI73" s="3"/>
      <c r="AJ73" s="3"/>
      <c r="AK73" s="16"/>
      <c r="AL73" s="3" t="str">
        <f t="shared" si="10"/>
        <v>Korea</v>
      </c>
      <c r="AM73" s="46">
        <f t="shared" si="21"/>
        <v>2.4497843493276594</v>
      </c>
      <c r="AN73" s="46">
        <f t="shared" si="22"/>
        <v>0</v>
      </c>
      <c r="AO73" s="14">
        <f t="shared" si="23"/>
        <v>3.177199028485973</v>
      </c>
      <c r="AP73" s="14">
        <f t="shared" si="24"/>
        <v>1.2262981534562105</v>
      </c>
      <c r="AQ73" s="14">
        <f t="shared" si="25"/>
        <v>1.2969300866657718</v>
      </c>
      <c r="AR73" s="14">
        <f t="shared" si="26"/>
        <v>1.6820276496988864</v>
      </c>
      <c r="AS73" t="s">
        <v>59</v>
      </c>
    </row>
    <row r="74" spans="1:46" ht="12.75">
      <c r="A74" t="s">
        <v>124</v>
      </c>
      <c r="B74" s="40">
        <v>84520</v>
      </c>
      <c r="C74" s="38">
        <f t="shared" si="9"/>
        <v>82561.60327170434</v>
      </c>
      <c r="D74" t="s">
        <v>143</v>
      </c>
      <c r="E74">
        <v>1</v>
      </c>
      <c r="F74">
        <v>4</v>
      </c>
      <c r="G74" s="11"/>
      <c r="H74">
        <v>20000</v>
      </c>
      <c r="I74">
        <v>1984</v>
      </c>
      <c r="J74">
        <v>1</v>
      </c>
      <c r="K74" s="51">
        <v>9.11</v>
      </c>
      <c r="L74" s="70">
        <v>0.141</v>
      </c>
      <c r="M74" s="12">
        <v>0.084</v>
      </c>
      <c r="N74" s="55">
        <v>-0.001</v>
      </c>
      <c r="O74" s="10">
        <f t="shared" si="19"/>
        <v>5.373521567086784</v>
      </c>
      <c r="P74">
        <v>33.7</v>
      </c>
      <c r="Q74">
        <v>5349</v>
      </c>
      <c r="R74">
        <v>44.79</v>
      </c>
      <c r="S74" s="3">
        <v>167.8</v>
      </c>
      <c r="T74">
        <v>16837</v>
      </c>
      <c r="U74">
        <v>14357</v>
      </c>
      <c r="V74" s="20">
        <f t="shared" si="20"/>
        <v>0.8527053513096158</v>
      </c>
      <c r="W74" s="12">
        <v>1.7539036</v>
      </c>
      <c r="X74" s="13">
        <v>1980</v>
      </c>
      <c r="Y74">
        <v>17744</v>
      </c>
      <c r="Z74" s="21">
        <v>6.3</v>
      </c>
      <c r="AA74" s="32">
        <v>21</v>
      </c>
      <c r="AB74" s="41">
        <f t="shared" si="27"/>
        <v>1968.0954295996298</v>
      </c>
      <c r="AC74" s="3">
        <v>1</v>
      </c>
      <c r="AD74" s="48">
        <v>64</v>
      </c>
      <c r="AE74" s="48">
        <v>17.12</v>
      </c>
      <c r="AF74">
        <v>7.61</v>
      </c>
      <c r="AG74" s="11"/>
      <c r="AH74" s="3"/>
      <c r="AI74" s="3"/>
      <c r="AJ74" s="3"/>
      <c r="AK74" s="16"/>
      <c r="AL74" s="3" t="str">
        <f t="shared" si="10"/>
        <v>Mexico</v>
      </c>
      <c r="AM74" s="46">
        <f t="shared" si="21"/>
        <v>1968.0954295996298</v>
      </c>
      <c r="AN74" s="46">
        <f t="shared" si="22"/>
        <v>2395.8170999999998</v>
      </c>
      <c r="AO74" s="14">
        <f t="shared" si="23"/>
        <v>19.530942445064596</v>
      </c>
      <c r="AP74" s="14">
        <f t="shared" si="24"/>
        <v>2.944679551065524</v>
      </c>
      <c r="AQ74" s="14">
        <f t="shared" si="25"/>
        <v>1.7576892143698166</v>
      </c>
      <c r="AR74" s="14">
        <f t="shared" si="26"/>
        <v>3.089471374311983</v>
      </c>
      <c r="AS74" t="s">
        <v>186</v>
      </c>
      <c r="AT74" t="s">
        <v>151</v>
      </c>
    </row>
    <row r="75" spans="1:45" ht="12.75">
      <c r="A75" t="s">
        <v>124</v>
      </c>
      <c r="B75" s="40">
        <v>71533</v>
      </c>
      <c r="C75" s="38">
        <f t="shared" si="9"/>
        <v>62442.41181472066</v>
      </c>
      <c r="D75" t="s">
        <v>143</v>
      </c>
      <c r="E75">
        <v>1</v>
      </c>
      <c r="F75">
        <v>4</v>
      </c>
      <c r="G75" s="11"/>
      <c r="H75">
        <v>20000</v>
      </c>
      <c r="I75">
        <v>1984</v>
      </c>
      <c r="J75">
        <v>2</v>
      </c>
      <c r="K75" s="51">
        <v>9.101</v>
      </c>
      <c r="L75" s="70">
        <v>0.15</v>
      </c>
      <c r="M75" s="12">
        <v>0.065</v>
      </c>
      <c r="N75" s="55">
        <v>-0.001</v>
      </c>
      <c r="O75" s="10">
        <f t="shared" si="19"/>
        <v>5.364521567086785</v>
      </c>
      <c r="P75">
        <v>33.7</v>
      </c>
      <c r="Q75">
        <v>5349</v>
      </c>
      <c r="R75">
        <v>44.79</v>
      </c>
      <c r="S75" s="3">
        <v>167.8</v>
      </c>
      <c r="T75">
        <v>16837</v>
      </c>
      <c r="U75">
        <v>14357</v>
      </c>
      <c r="V75" s="20">
        <f t="shared" si="20"/>
        <v>0.8527053513096158</v>
      </c>
      <c r="W75" s="12">
        <v>1.7539036</v>
      </c>
      <c r="X75" s="13">
        <v>1980</v>
      </c>
      <c r="Y75">
        <v>17744</v>
      </c>
      <c r="Z75" s="21">
        <v>7.5</v>
      </c>
      <c r="AA75" s="32">
        <v>17</v>
      </c>
      <c r="AB75" s="41">
        <f t="shared" si="27"/>
        <v>1488.4961100052583</v>
      </c>
      <c r="AC75" s="3">
        <v>1</v>
      </c>
      <c r="AD75" s="48">
        <v>64</v>
      </c>
      <c r="AE75" s="48">
        <f>AE74</f>
        <v>17.12</v>
      </c>
      <c r="AF75">
        <v>-99</v>
      </c>
      <c r="AG75" s="11"/>
      <c r="AH75" s="3"/>
      <c r="AI75" s="3"/>
      <c r="AJ75" s="3"/>
      <c r="AK75" s="16"/>
      <c r="AL75" s="3" t="str">
        <f t="shared" si="10"/>
        <v>Mexico</v>
      </c>
      <c r="AM75" s="46">
        <f t="shared" si="21"/>
        <v>1488.4961100052583</v>
      </c>
      <c r="AN75" s="46">
        <f t="shared" si="22"/>
        <v>2395.8170999999998</v>
      </c>
      <c r="AO75" s="14">
        <f t="shared" si="23"/>
        <v>14.87973172487283</v>
      </c>
      <c r="AP75" s="14">
        <f t="shared" si="24"/>
        <v>2.013752707470476</v>
      </c>
      <c r="AQ75" s="14">
        <f t="shared" si="25"/>
        <v>1.8221188003905089</v>
      </c>
      <c r="AR75" s="14">
        <f t="shared" si="26"/>
        <v>3.3201169227365472</v>
      </c>
      <c r="AS75" t="s">
        <v>186</v>
      </c>
    </row>
    <row r="76" spans="1:45" ht="12.75">
      <c r="A76" t="s">
        <v>103</v>
      </c>
      <c r="B76" s="40">
        <v>47765</v>
      </c>
      <c r="C76" s="38">
        <f aca="true" t="shared" si="28" ref="C76:C116">EXP(K76+L76*Z76+M76*AA76+N76*AA76^2)</f>
        <v>47281.778387669874</v>
      </c>
      <c r="D76" t="s">
        <v>108</v>
      </c>
      <c r="E76">
        <v>1</v>
      </c>
      <c r="F76">
        <v>1</v>
      </c>
      <c r="G76" s="11"/>
      <c r="H76">
        <v>42500</v>
      </c>
      <c r="I76">
        <v>1983</v>
      </c>
      <c r="J76">
        <v>1</v>
      </c>
      <c r="K76" s="51">
        <v>9.378</v>
      </c>
      <c r="L76" s="70">
        <v>0.074</v>
      </c>
      <c r="M76" s="12">
        <v>0.045</v>
      </c>
      <c r="N76" s="55">
        <v>-0.000667</v>
      </c>
      <c r="O76" s="10">
        <f aca="true" t="shared" si="29" ref="O76:O82">K76-LN(S76)+LN(F76)</f>
        <v>8.329278480945355</v>
      </c>
      <c r="P76">
        <v>72.6</v>
      </c>
      <c r="Q76">
        <v>10499</v>
      </c>
      <c r="R76">
        <v>90.02</v>
      </c>
      <c r="S76" s="3">
        <v>2.854</v>
      </c>
      <c r="T76">
        <v>27681</v>
      </c>
      <c r="U76">
        <v>29111</v>
      </c>
      <c r="V76" s="20">
        <f t="shared" si="20"/>
        <v>1.0516599833821032</v>
      </c>
      <c r="W76" s="12">
        <v>2.7601936</v>
      </c>
      <c r="X76" s="13">
        <v>1980</v>
      </c>
      <c r="Y76">
        <v>29425</v>
      </c>
      <c r="Z76" s="17">
        <v>9.48</v>
      </c>
      <c r="AA76" s="32">
        <v>23.155</v>
      </c>
      <c r="AB76" s="41">
        <f t="shared" si="27"/>
        <v>16566.84596624732</v>
      </c>
      <c r="AC76" s="3">
        <v>1</v>
      </c>
      <c r="AD76" s="48">
        <v>133</v>
      </c>
      <c r="AE76" s="48">
        <v>4.43</v>
      </c>
      <c r="AF76">
        <v>-99</v>
      </c>
      <c r="AG76" s="11"/>
      <c r="AH76" s="3"/>
      <c r="AI76" s="3"/>
      <c r="AJ76" s="3"/>
      <c r="AK76" s="16"/>
      <c r="AL76" s="3" t="str">
        <f t="shared" si="10"/>
        <v>Netherlands</v>
      </c>
      <c r="AM76" s="46">
        <f t="shared" si="21"/>
        <v>16566.84596624732</v>
      </c>
      <c r="AN76" s="46">
        <f t="shared" si="22"/>
        <v>9451.1998</v>
      </c>
      <c r="AO76" s="14">
        <f t="shared" si="23"/>
        <v>4.577715158695666</v>
      </c>
      <c r="AP76" s="14">
        <f t="shared" si="24"/>
        <v>1.6483915594182152</v>
      </c>
      <c r="AQ76" s="14">
        <f t="shared" si="25"/>
        <v>1.3444701568320527</v>
      </c>
      <c r="AR76" s="14">
        <f t="shared" si="26"/>
        <v>1.8076000026120045</v>
      </c>
      <c r="AS76" t="s">
        <v>102</v>
      </c>
    </row>
    <row r="77" spans="1:45" ht="12.75">
      <c r="A77" t="s">
        <v>161</v>
      </c>
      <c r="B77" s="40">
        <v>659</v>
      </c>
      <c r="C77" s="38">
        <f t="shared" si="28"/>
        <v>369.7000495610291</v>
      </c>
      <c r="D77" t="s">
        <v>162</v>
      </c>
      <c r="E77">
        <v>1</v>
      </c>
      <c r="F77">
        <v>12</v>
      </c>
      <c r="G77" s="11"/>
      <c r="H77">
        <v>21060</v>
      </c>
      <c r="I77">
        <v>1978</v>
      </c>
      <c r="J77">
        <v>1</v>
      </c>
      <c r="K77" s="51">
        <v>4.65</v>
      </c>
      <c r="L77" s="70">
        <v>0.097</v>
      </c>
      <c r="M77" s="12">
        <v>0.05</v>
      </c>
      <c r="N77" s="55">
        <v>-0.0008</v>
      </c>
      <c r="O77" s="10">
        <f t="shared" si="29"/>
        <v>5.188996500732687</v>
      </c>
      <c r="P77">
        <v>15.3</v>
      </c>
      <c r="Q77">
        <v>1531</v>
      </c>
      <c r="R77">
        <v>34.05</v>
      </c>
      <c r="S77" s="3">
        <v>7</v>
      </c>
      <c r="T77">
        <v>8230</v>
      </c>
      <c r="U77">
        <v>-999.99</v>
      </c>
      <c r="V77" s="23">
        <f>$V$121+$V$122*T77</f>
        <v>0.8316859999999999</v>
      </c>
      <c r="W77" s="12">
        <v>1.5602581</v>
      </c>
      <c r="X77" s="13">
        <v>1980</v>
      </c>
      <c r="Y77">
        <v>5724</v>
      </c>
      <c r="Z77" s="17">
        <v>6.5</v>
      </c>
      <c r="AA77" s="32">
        <v>17.6</v>
      </c>
      <c r="AB77" s="41">
        <f t="shared" si="27"/>
        <v>633.7715135331924</v>
      </c>
      <c r="AC77" s="3">
        <v>1</v>
      </c>
      <c r="AD77" s="48">
        <v>65</v>
      </c>
      <c r="AE77" s="48">
        <v>13.12</v>
      </c>
      <c r="AF77">
        <v>11.73</v>
      </c>
      <c r="AG77" s="11"/>
      <c r="AH77" s="3"/>
      <c r="AI77" s="3"/>
      <c r="AJ77" s="3"/>
      <c r="AK77" s="16"/>
      <c r="AL77" s="3" t="str">
        <f aca="true" t="shared" si="30" ref="AL77:AL116">A77</f>
        <v>Nicaragua</v>
      </c>
      <c r="AM77" s="46">
        <f t="shared" si="21"/>
        <v>633.7715135331924</v>
      </c>
      <c r="AN77" s="46">
        <f t="shared" si="22"/>
        <v>521.3054999999999</v>
      </c>
      <c r="AO77" s="14">
        <f>EXP(L77*12+20*M77+400*N77)</f>
        <v>6.321774853607144</v>
      </c>
      <c r="AP77" s="14">
        <f>EXP(M77*25+N77*25^2)/EXP(M77*5+N77*25)</f>
        <v>1.6820276496988864</v>
      </c>
      <c r="AQ77" s="14">
        <f>EXP(L77*4)</f>
        <v>1.4740297842881416</v>
      </c>
      <c r="AR77" s="14">
        <f>EXP(L77*8)</f>
        <v>2.1727638049685454</v>
      </c>
      <c r="AS77" t="s">
        <v>163</v>
      </c>
    </row>
    <row r="78" spans="1:45" ht="12.75">
      <c r="A78" t="s">
        <v>161</v>
      </c>
      <c r="B78" s="40">
        <v>276</v>
      </c>
      <c r="C78" s="38">
        <f t="shared" si="28"/>
        <v>148.37558564769202</v>
      </c>
      <c r="D78" t="s">
        <v>162</v>
      </c>
      <c r="E78">
        <v>1</v>
      </c>
      <c r="F78">
        <v>12</v>
      </c>
      <c r="G78" s="11"/>
      <c r="H78">
        <v>21060</v>
      </c>
      <c r="I78">
        <v>1978</v>
      </c>
      <c r="J78">
        <v>2</v>
      </c>
      <c r="K78" s="51">
        <v>3.95</v>
      </c>
      <c r="L78" s="70">
        <v>0.13</v>
      </c>
      <c r="M78" s="12">
        <v>0.065</v>
      </c>
      <c r="N78" s="55">
        <v>-0.00097</v>
      </c>
      <c r="O78" s="10">
        <f t="shared" si="29"/>
        <v>4.4889965007326875</v>
      </c>
      <c r="P78">
        <v>15.3</v>
      </c>
      <c r="Q78">
        <v>1531</v>
      </c>
      <c r="R78">
        <v>34.05</v>
      </c>
      <c r="S78" s="3">
        <v>7</v>
      </c>
      <c r="T78">
        <v>8230</v>
      </c>
      <c r="U78">
        <v>-999.99</v>
      </c>
      <c r="V78" s="23">
        <f>$V$121+$V$122*T78</f>
        <v>0.8316859999999999</v>
      </c>
      <c r="W78" s="12">
        <v>1.5602581</v>
      </c>
      <c r="X78" s="13">
        <v>1980</v>
      </c>
      <c r="Y78">
        <v>5724</v>
      </c>
      <c r="Z78" s="17">
        <v>5.1</v>
      </c>
      <c r="AA78" s="32">
        <v>6.6</v>
      </c>
      <c r="AB78" s="41">
        <f t="shared" si="27"/>
        <v>254.358146824615</v>
      </c>
      <c r="AC78" s="3">
        <v>1</v>
      </c>
      <c r="AD78" s="48">
        <v>65</v>
      </c>
      <c r="AE78" s="48">
        <f aca="true" t="shared" si="31" ref="AE78:AE116">AE77</f>
        <v>13.12</v>
      </c>
      <c r="AF78">
        <v>-99</v>
      </c>
      <c r="AG78" s="11"/>
      <c r="AH78" s="3"/>
      <c r="AI78" s="3"/>
      <c r="AJ78" s="3"/>
      <c r="AK78" s="16"/>
      <c r="AL78" s="3" t="str">
        <f t="shared" si="30"/>
        <v>Nicaragua</v>
      </c>
      <c r="AM78" s="46">
        <f t="shared" si="21"/>
        <v>254.358146824615</v>
      </c>
      <c r="AN78" s="46">
        <f t="shared" si="22"/>
        <v>521.3054999999999</v>
      </c>
      <c r="AO78" s="14">
        <f>EXP(L78*12+20*M78+400*N78)</f>
        <v>11.846115406014508</v>
      </c>
      <c r="AP78" s="14">
        <f>EXP(M78*25+N78*25^2)/EXP(M78*5+N78*25)</f>
        <v>2.0503284503511456</v>
      </c>
      <c r="AQ78" s="14">
        <f>EXP(L78*4)</f>
        <v>1.6820276496988864</v>
      </c>
      <c r="AR78" s="14">
        <f>EXP(L78*8)</f>
        <v>2.82921701435156</v>
      </c>
      <c r="AS78" t="s">
        <v>163</v>
      </c>
    </row>
    <row r="79" spans="1:46" ht="12.75">
      <c r="A79" s="3" t="s">
        <v>187</v>
      </c>
      <c r="B79" s="40" t="s">
        <v>278</v>
      </c>
      <c r="C79" s="38">
        <f t="shared" si="28"/>
        <v>121172.69034004425</v>
      </c>
      <c r="D79" t="s">
        <v>54</v>
      </c>
      <c r="E79">
        <v>1</v>
      </c>
      <c r="F79">
        <v>1</v>
      </c>
      <c r="G79" s="11"/>
      <c r="H79">
        <v>40400</v>
      </c>
      <c r="I79">
        <v>1979</v>
      </c>
      <c r="J79">
        <v>1</v>
      </c>
      <c r="K79" s="51">
        <f>8.7343+0.1531</f>
        <v>8.8874</v>
      </c>
      <c r="L79" s="70">
        <v>0.0383</v>
      </c>
      <c r="M79" s="12">
        <v>0.1066</v>
      </c>
      <c r="N79" s="55">
        <v>-0.0012</v>
      </c>
      <c r="O79" s="10">
        <f t="shared" si="29"/>
        <v>7.265243315158124</v>
      </c>
      <c r="P79">
        <v>71.9</v>
      </c>
      <c r="Q79">
        <v>7944</v>
      </c>
      <c r="R79">
        <v>145.66</v>
      </c>
      <c r="S79" s="3">
        <v>5.064</v>
      </c>
      <c r="T79">
        <v>24727</v>
      </c>
      <c r="U79">
        <v>41384</v>
      </c>
      <c r="V79" s="20">
        <f>U79/T79</f>
        <v>1.673636106280584</v>
      </c>
      <c r="W79" s="35">
        <v>3.0776806</v>
      </c>
      <c r="X79" s="13">
        <v>1980</v>
      </c>
      <c r="Y79">
        <f>T79</f>
        <v>24727</v>
      </c>
      <c r="Z79" s="17">
        <v>11.8</v>
      </c>
      <c r="AA79" s="32">
        <v>43.2</v>
      </c>
      <c r="AB79" s="41">
        <f t="shared" si="27"/>
        <v>23928.256386264642</v>
      </c>
      <c r="AC79" s="3">
        <v>1</v>
      </c>
      <c r="AD79" s="48">
        <v>134</v>
      </c>
      <c r="AE79" s="48">
        <v>7.39</v>
      </c>
      <c r="AF79">
        <v>-99</v>
      </c>
      <c r="AG79" s="11"/>
      <c r="AH79" s="3"/>
      <c r="AI79" s="3"/>
      <c r="AJ79" s="3"/>
      <c r="AK79" s="16"/>
      <c r="AL79" s="3" t="str">
        <f>A79</f>
        <v>Norway</v>
      </c>
      <c r="AM79" s="46">
        <f t="shared" si="21"/>
        <v>23928.256386264642</v>
      </c>
      <c r="AN79" s="46">
        <f>Q79*R79/100</f>
        <v>11571.2304</v>
      </c>
      <c r="AO79" s="14">
        <f>EXP(L79*12+20*M79+400*N79)</f>
        <v>8.261449034063961</v>
      </c>
      <c r="AP79" s="14">
        <f>EXP(M79*25+N79*25^2)/EXP(M79*5+N79*25)</f>
        <v>4.104155512254133</v>
      </c>
      <c r="AQ79" s="14">
        <f>EXP(L79*4)</f>
        <v>1.16555806724658</v>
      </c>
      <c r="AR79" s="14">
        <f>EXP(L79*8)</f>
        <v>1.3585256081235828</v>
      </c>
      <c r="AS79" t="s">
        <v>188</v>
      </c>
      <c r="AT79" t="s">
        <v>189</v>
      </c>
    </row>
    <row r="80" spans="1:45" ht="12.75">
      <c r="A80" s="3" t="str">
        <f>A79</f>
        <v>Norway</v>
      </c>
      <c r="B80" s="40" t="s">
        <v>278</v>
      </c>
      <c r="C80" s="38">
        <f t="shared" si="28"/>
        <v>105480.77628637382</v>
      </c>
      <c r="D80" t="str">
        <f>D79</f>
        <v>Log annual earnings</v>
      </c>
      <c r="E80">
        <v>1</v>
      </c>
      <c r="F80">
        <v>1</v>
      </c>
      <c r="G80" s="11"/>
      <c r="H80">
        <v>40400</v>
      </c>
      <c r="I80">
        <v>1989</v>
      </c>
      <c r="J80">
        <v>1</v>
      </c>
      <c r="K80" s="51">
        <f>9.544+0.1716</f>
        <v>9.7156</v>
      </c>
      <c r="L80" s="70">
        <v>0.0689</v>
      </c>
      <c r="M80" s="12">
        <v>0.0413</v>
      </c>
      <c r="N80" s="55">
        <v>-0.0004</v>
      </c>
      <c r="O80" s="10">
        <f t="shared" si="29"/>
        <v>7.783354213138745</v>
      </c>
      <c r="P80">
        <v>71.5</v>
      </c>
      <c r="Q80">
        <v>14980</v>
      </c>
      <c r="R80">
        <v>142.14</v>
      </c>
      <c r="S80" s="3">
        <v>6.905</v>
      </c>
      <c r="T80">
        <v>28913</v>
      </c>
      <c r="U80">
        <v>47408</v>
      </c>
      <c r="V80" s="20">
        <f>U80/T80</f>
        <v>1.639677653650607</v>
      </c>
      <c r="W80" s="35">
        <v>3.0776806</v>
      </c>
      <c r="X80" s="13">
        <v>1990</v>
      </c>
      <c r="Y80">
        <f>T80</f>
        <v>28913</v>
      </c>
      <c r="Z80" s="17">
        <v>11.8</v>
      </c>
      <c r="AA80" s="32">
        <v>43.2</v>
      </c>
      <c r="AB80" s="41">
        <f t="shared" si="27"/>
        <v>15275.999462183032</v>
      </c>
      <c r="AC80" s="3">
        <v>1</v>
      </c>
      <c r="AD80" s="48">
        <v>134</v>
      </c>
      <c r="AE80" s="48">
        <v>7.39</v>
      </c>
      <c r="AF80">
        <v>-99</v>
      </c>
      <c r="AG80" s="11"/>
      <c r="AH80" s="3"/>
      <c r="AI80" s="3"/>
      <c r="AJ80" s="3"/>
      <c r="AK80" s="16"/>
      <c r="AL80" s="3" t="str">
        <f>A80</f>
        <v>Norway</v>
      </c>
      <c r="AM80" s="46">
        <f t="shared" si="21"/>
        <v>15275.999462183032</v>
      </c>
      <c r="AN80" s="46">
        <f>Q80*R80/100</f>
        <v>21292.571999999996</v>
      </c>
      <c r="AO80" s="14">
        <f>EXP(L80*12+20*M80+400*N80)</f>
        <v>4.449536796116534</v>
      </c>
      <c r="AP80" s="14">
        <f>EXP(M80*25+N80*25^2)/EXP(M80*5+N80*25)</f>
        <v>1.796786874420273</v>
      </c>
      <c r="AQ80" s="14">
        <f>EXP(L80*4)</f>
        <v>1.317320830295466</v>
      </c>
      <c r="AR80" s="14">
        <f>EXP(L80*8)</f>
        <v>1.7353341699303357</v>
      </c>
      <c r="AS80" t="str">
        <f>AS79</f>
        <v>Hayfron (1998)</v>
      </c>
    </row>
    <row r="81" spans="1:45" ht="12.75">
      <c r="A81" t="s">
        <v>113</v>
      </c>
      <c r="B81" s="40">
        <f>EXP(6.23)</f>
        <v>507.7554834957939</v>
      </c>
      <c r="C81" s="38">
        <f t="shared" si="28"/>
        <v>487.97569534892614</v>
      </c>
      <c r="D81" t="s">
        <v>134</v>
      </c>
      <c r="E81">
        <v>1</v>
      </c>
      <c r="F81">
        <v>12</v>
      </c>
      <c r="G81" s="11"/>
      <c r="H81">
        <v>52140</v>
      </c>
      <c r="I81">
        <v>1979</v>
      </c>
      <c r="J81">
        <v>1</v>
      </c>
      <c r="K81" s="51">
        <v>4.98</v>
      </c>
      <c r="L81" s="70">
        <v>0.08</v>
      </c>
      <c r="M81" s="12">
        <v>0.06</v>
      </c>
      <c r="N81" s="55">
        <v>-0.001</v>
      </c>
      <c r="O81" s="10">
        <f t="shared" si="29"/>
        <v>5.1723718926474564</v>
      </c>
      <c r="P81">
        <v>6.7</v>
      </c>
      <c r="Q81">
        <v>744</v>
      </c>
      <c r="R81">
        <v>33.05</v>
      </c>
      <c r="S81" s="3">
        <v>9.9</v>
      </c>
      <c r="T81">
        <v>3573</v>
      </c>
      <c r="U81">
        <v>-999.99</v>
      </c>
      <c r="V81" s="23">
        <f>$V$121+$V$122*T81</f>
        <v>0.7469285999999999</v>
      </c>
      <c r="W81" s="12">
        <v>0.84143281</v>
      </c>
      <c r="X81" s="13">
        <v>1980</v>
      </c>
      <c r="Y81">
        <v>3573</v>
      </c>
      <c r="Z81" s="17">
        <v>4.47</v>
      </c>
      <c r="AA81" s="32">
        <v>23.12</v>
      </c>
      <c r="AB81" s="41">
        <f t="shared" si="27"/>
        <v>591.4856913320317</v>
      </c>
      <c r="AC81" s="3">
        <v>1</v>
      </c>
      <c r="AD81" s="48">
        <v>105</v>
      </c>
      <c r="AE81" s="48">
        <v>4.68</v>
      </c>
      <c r="AF81">
        <v>-99</v>
      </c>
      <c r="AG81" s="11"/>
      <c r="AH81" s="3"/>
      <c r="AI81" s="3"/>
      <c r="AJ81" s="3"/>
      <c r="AK81" s="16"/>
      <c r="AL81" s="3" t="str">
        <f t="shared" si="30"/>
        <v>Pakistan</v>
      </c>
      <c r="AM81" s="46">
        <f t="shared" si="21"/>
        <v>591.4856913320317</v>
      </c>
      <c r="AN81" s="46">
        <f>Q81*R81/100</f>
        <v>245.89199999999997</v>
      </c>
      <c r="AO81" s="83">
        <f>EXP(L81*12+20*M81+400*N81)</f>
        <v>5.81243739440259</v>
      </c>
      <c r="AP81" s="83">
        <f>EXP(M81*25+N81*25^2)/EXP(M81*5+N81*25)</f>
        <v>1.822118800390509</v>
      </c>
      <c r="AQ81" s="83">
        <f>EXP(L81*4)</f>
        <v>1.3771277643359572</v>
      </c>
      <c r="AR81" s="83">
        <f>EXP(L81*8)</f>
        <v>1.8964808793049515</v>
      </c>
      <c r="AS81" t="s">
        <v>179</v>
      </c>
    </row>
    <row r="82" spans="1:46" ht="12.75">
      <c r="A82" t="s">
        <v>113</v>
      </c>
      <c r="B82" s="40">
        <f>EXP(6.42)</f>
        <v>614.0031141255516</v>
      </c>
      <c r="C82" s="39">
        <f t="shared" si="28"/>
        <v>1953.2110704027375</v>
      </c>
      <c r="D82" t="s">
        <v>114</v>
      </c>
      <c r="E82">
        <v>1</v>
      </c>
      <c r="F82">
        <v>12</v>
      </c>
      <c r="G82" s="11"/>
      <c r="H82">
        <v>52140</v>
      </c>
      <c r="I82">
        <v>1979</v>
      </c>
      <c r="J82">
        <v>1</v>
      </c>
      <c r="K82" s="51">
        <v>4.872</v>
      </c>
      <c r="L82" s="70">
        <v>0.097</v>
      </c>
      <c r="M82" s="12">
        <v>0.1056</v>
      </c>
      <c r="N82" s="55">
        <v>-0.0006</v>
      </c>
      <c r="O82" s="10">
        <f t="shared" si="29"/>
        <v>5.064371892647456</v>
      </c>
      <c r="P82">
        <v>6.7</v>
      </c>
      <c r="Q82">
        <v>744</v>
      </c>
      <c r="R82">
        <v>33.05</v>
      </c>
      <c r="S82" s="3">
        <v>9.9</v>
      </c>
      <c r="T82">
        <v>3573</v>
      </c>
      <c r="U82">
        <v>-999.99</v>
      </c>
      <c r="V82" s="23">
        <f>$V$121+$V$122*T82</f>
        <v>0.7469285999999999</v>
      </c>
      <c r="W82" s="12">
        <v>0.84143281</v>
      </c>
      <c r="X82" s="13">
        <v>1980</v>
      </c>
      <c r="Y82">
        <v>3573</v>
      </c>
      <c r="Z82" s="17">
        <v>8.59</v>
      </c>
      <c r="AA82" s="32">
        <f>$AA$6</f>
        <v>20</v>
      </c>
      <c r="AB82" s="41">
        <f t="shared" si="27"/>
        <v>2367.5285701851362</v>
      </c>
      <c r="AC82" s="26">
        <v>0</v>
      </c>
      <c r="AD82" s="48">
        <v>105</v>
      </c>
      <c r="AE82" s="48">
        <f t="shared" si="31"/>
        <v>4.68</v>
      </c>
      <c r="AF82">
        <v>-99</v>
      </c>
      <c r="AG82" s="11"/>
      <c r="AH82" s="3"/>
      <c r="AI82" s="3"/>
      <c r="AJ82" s="3"/>
      <c r="AK82" s="16"/>
      <c r="AL82" s="3" t="str">
        <f t="shared" si="30"/>
        <v>Pakistan</v>
      </c>
      <c r="AM82" s="46">
        <f t="shared" si="21"/>
        <v>2367.5285701851362</v>
      </c>
      <c r="AN82" s="46">
        <f t="shared" si="22"/>
        <v>245.89199999999997</v>
      </c>
      <c r="AO82" s="83">
        <f t="shared" si="23"/>
        <v>20.821789281331824</v>
      </c>
      <c r="AP82" s="83">
        <f t="shared" si="24"/>
        <v>5.766123398239737</v>
      </c>
      <c r="AQ82" s="83">
        <f t="shared" si="25"/>
        <v>1.4740297842881416</v>
      </c>
      <c r="AR82" s="83">
        <f t="shared" si="26"/>
        <v>2.1727638049685454</v>
      </c>
      <c r="AS82" t="s">
        <v>115</v>
      </c>
      <c r="AT82" t="s">
        <v>277</v>
      </c>
    </row>
    <row r="83" spans="1:45" ht="12.75">
      <c r="A83" t="s">
        <v>144</v>
      </c>
      <c r="B83" s="40">
        <v>250</v>
      </c>
      <c r="C83" s="38">
        <f t="shared" si="28"/>
        <v>207.916233439564</v>
      </c>
      <c r="D83" t="s">
        <v>134</v>
      </c>
      <c r="E83">
        <v>1</v>
      </c>
      <c r="F83">
        <v>12</v>
      </c>
      <c r="G83" s="11"/>
      <c r="H83">
        <v>21070</v>
      </c>
      <c r="I83">
        <v>1979</v>
      </c>
      <c r="J83">
        <v>1</v>
      </c>
      <c r="K83" s="51">
        <f>1.248+0.646*LN(43)</f>
        <v>3.6777352747380414</v>
      </c>
      <c r="L83" s="70">
        <v>0.123</v>
      </c>
      <c r="M83" s="12">
        <v>0.047</v>
      </c>
      <c r="N83" s="55">
        <v>-0.0006</v>
      </c>
      <c r="O83" s="10">
        <f aca="true" t="shared" si="32" ref="O83:O88">K83-LN(S83)+LN(F83)</f>
        <v>6.162641924526042</v>
      </c>
      <c r="P83">
        <v>19.2</v>
      </c>
      <c r="Q83">
        <v>2121</v>
      </c>
      <c r="R83">
        <v>69.44</v>
      </c>
      <c r="S83" s="3">
        <v>1</v>
      </c>
      <c r="T83">
        <v>9110</v>
      </c>
      <c r="U83">
        <v>15279</v>
      </c>
      <c r="V83" s="20">
        <f>U83/T83</f>
        <v>1.6771679473106476</v>
      </c>
      <c r="W83" s="12">
        <v>2.0649294</v>
      </c>
      <c r="X83" s="13">
        <v>1980</v>
      </c>
      <c r="Y83">
        <v>9110</v>
      </c>
      <c r="Z83" s="17">
        <v>7.8</v>
      </c>
      <c r="AA83" s="32">
        <v>20</v>
      </c>
      <c r="AB83" s="41">
        <f t="shared" si="27"/>
        <v>2494.9948012747714</v>
      </c>
      <c r="AC83" s="3">
        <v>1</v>
      </c>
      <c r="AD83" s="48">
        <v>66</v>
      </c>
      <c r="AE83" s="48">
        <v>22.64</v>
      </c>
      <c r="AF83">
        <v>-99</v>
      </c>
      <c r="AG83" s="11"/>
      <c r="AH83" s="3"/>
      <c r="AI83" s="3"/>
      <c r="AJ83" s="3">
        <v>43</v>
      </c>
      <c r="AK83" s="16"/>
      <c r="AL83" s="3" t="str">
        <f t="shared" si="30"/>
        <v>Panama</v>
      </c>
      <c r="AM83" s="46">
        <f t="shared" si="21"/>
        <v>2494.9948012747714</v>
      </c>
      <c r="AN83" s="46">
        <f t="shared" si="22"/>
        <v>1472.8224</v>
      </c>
      <c r="AO83" s="14">
        <f t="shared" si="23"/>
        <v>8.810991709869755</v>
      </c>
      <c r="AP83" s="14">
        <f t="shared" si="24"/>
        <v>1.7860384307500736</v>
      </c>
      <c r="AQ83" s="14">
        <f t="shared" si="25"/>
        <v>1.6355841192052398</v>
      </c>
      <c r="AR83" s="14">
        <f t="shared" si="26"/>
        <v>2.6751354109963805</v>
      </c>
      <c r="AS83" t="s">
        <v>186</v>
      </c>
    </row>
    <row r="84" spans="1:45" ht="12.75">
      <c r="A84" t="s">
        <v>144</v>
      </c>
      <c r="B84" s="40">
        <v>198</v>
      </c>
      <c r="C84" s="38">
        <f t="shared" si="28"/>
        <v>163.65897430691203</v>
      </c>
      <c r="D84" t="s">
        <v>134</v>
      </c>
      <c r="E84">
        <v>1</v>
      </c>
      <c r="F84">
        <v>12</v>
      </c>
      <c r="G84" s="11"/>
      <c r="H84">
        <v>21070</v>
      </c>
      <c r="I84">
        <v>1979</v>
      </c>
      <c r="J84">
        <v>2</v>
      </c>
      <c r="K84" s="51">
        <f>2.721+0.058*LN(42)</f>
        <v>2.9377848378604354</v>
      </c>
      <c r="L84" s="70">
        <v>0.157</v>
      </c>
      <c r="M84" s="12">
        <v>0.052</v>
      </c>
      <c r="N84" s="55">
        <v>-0.0007</v>
      </c>
      <c r="O84" s="10">
        <f t="shared" si="32"/>
        <v>5.422691487648436</v>
      </c>
      <c r="P84">
        <v>19.2</v>
      </c>
      <c r="Q84">
        <v>2121</v>
      </c>
      <c r="R84">
        <v>69.44</v>
      </c>
      <c r="S84" s="3">
        <v>1</v>
      </c>
      <c r="T84">
        <v>9110</v>
      </c>
      <c r="U84">
        <v>15279</v>
      </c>
      <c r="V84" s="20">
        <f>U84/T84</f>
        <v>1.6771679473106476</v>
      </c>
      <c r="W84" s="12">
        <v>2.0649294</v>
      </c>
      <c r="X84" s="13">
        <v>1980</v>
      </c>
      <c r="Y84">
        <v>9110</v>
      </c>
      <c r="Z84" s="17">
        <v>9.6</v>
      </c>
      <c r="AA84" s="32">
        <v>16</v>
      </c>
      <c r="AB84" s="41">
        <f t="shared" si="27"/>
        <v>1963.9076916829454</v>
      </c>
      <c r="AC84" s="3">
        <v>1</v>
      </c>
      <c r="AD84" s="48">
        <v>66</v>
      </c>
      <c r="AE84" s="48">
        <f t="shared" si="31"/>
        <v>22.64</v>
      </c>
      <c r="AF84">
        <v>-99</v>
      </c>
      <c r="AG84" s="11"/>
      <c r="AH84" s="3"/>
      <c r="AI84" s="3"/>
      <c r="AJ84" s="3">
        <v>42</v>
      </c>
      <c r="AK84" s="16"/>
      <c r="AL84" s="3" t="str">
        <f t="shared" si="30"/>
        <v>Panama</v>
      </c>
      <c r="AM84" s="46">
        <f t="shared" si="21"/>
        <v>1963.9076916829454</v>
      </c>
      <c r="AN84" s="46">
        <f t="shared" si="22"/>
        <v>1472.8224</v>
      </c>
      <c r="AO84" s="14">
        <f t="shared" si="23"/>
        <v>14.069368677417177</v>
      </c>
      <c r="AP84" s="14">
        <f t="shared" si="24"/>
        <v>1.858928041846342</v>
      </c>
      <c r="AQ84" s="14">
        <f t="shared" si="25"/>
        <v>1.8738591108247435</v>
      </c>
      <c r="AR84" s="14">
        <f t="shared" si="26"/>
        <v>3.5113479672208983</v>
      </c>
      <c r="AS84" t="s">
        <v>186</v>
      </c>
    </row>
    <row r="85" spans="1:45" ht="12.75">
      <c r="A85" t="s">
        <v>144</v>
      </c>
      <c r="B85" s="40">
        <v>312</v>
      </c>
      <c r="C85" s="38">
        <f t="shared" si="28"/>
        <v>258.1139827853562</v>
      </c>
      <c r="D85" t="s">
        <v>134</v>
      </c>
      <c r="E85">
        <v>1</v>
      </c>
      <c r="F85">
        <v>12</v>
      </c>
      <c r="G85" s="11"/>
      <c r="H85">
        <v>21070</v>
      </c>
      <c r="I85">
        <v>1989</v>
      </c>
      <c r="J85">
        <v>1</v>
      </c>
      <c r="K85" s="51">
        <f>0.8+0.701*LN(43)</f>
        <v>3.4366012811011872</v>
      </c>
      <c r="L85" s="70">
        <v>0.126</v>
      </c>
      <c r="M85" s="12">
        <v>0.066</v>
      </c>
      <c r="N85" s="57">
        <v>-0.0008</v>
      </c>
      <c r="O85" s="10">
        <f t="shared" si="32"/>
        <v>5.921507930889188</v>
      </c>
      <c r="P85">
        <v>14.6</v>
      </c>
      <c r="Q85">
        <v>3058</v>
      </c>
      <c r="R85">
        <v>64</v>
      </c>
      <c r="S85" s="3">
        <v>1</v>
      </c>
      <c r="T85">
        <v>7771</v>
      </c>
      <c r="U85">
        <v>15688</v>
      </c>
      <c r="V85" s="20">
        <f>U85/T85</f>
        <v>2.018787800797838</v>
      </c>
      <c r="W85" s="12">
        <v>2.0649294</v>
      </c>
      <c r="X85" s="13">
        <v>1990</v>
      </c>
      <c r="Y85">
        <v>7771</v>
      </c>
      <c r="Z85" s="17">
        <v>8.6</v>
      </c>
      <c r="AA85" s="32">
        <v>21</v>
      </c>
      <c r="AB85" s="41">
        <f t="shared" si="27"/>
        <v>3097.3677934242755</v>
      </c>
      <c r="AC85" s="3">
        <v>1</v>
      </c>
      <c r="AD85" s="48">
        <v>66</v>
      </c>
      <c r="AE85" s="48">
        <f t="shared" si="31"/>
        <v>22.64</v>
      </c>
      <c r="AF85">
        <v>13.41</v>
      </c>
      <c r="AG85" s="11"/>
      <c r="AH85" s="3"/>
      <c r="AI85" s="3"/>
      <c r="AJ85" s="3">
        <v>43</v>
      </c>
      <c r="AK85" s="16"/>
      <c r="AL85" s="3" t="str">
        <f t="shared" si="30"/>
        <v>Panama</v>
      </c>
      <c r="AM85" s="46">
        <f t="shared" si="21"/>
        <v>3097.3677934242755</v>
      </c>
      <c r="AN85" s="46">
        <f t="shared" si="22"/>
        <v>1957.12</v>
      </c>
      <c r="AO85" s="14">
        <f t="shared" si="23"/>
        <v>12.329564546906333</v>
      </c>
      <c r="AP85" s="14">
        <f t="shared" si="24"/>
        <v>2.316366976781092</v>
      </c>
      <c r="AQ85" s="14">
        <f t="shared" si="25"/>
        <v>1.655329363157055</v>
      </c>
      <c r="AR85" s="14">
        <f t="shared" si="26"/>
        <v>2.7401153005299412</v>
      </c>
      <c r="AS85" t="s">
        <v>186</v>
      </c>
    </row>
    <row r="86" spans="1:45" ht="12.75">
      <c r="A86" t="s">
        <v>144</v>
      </c>
      <c r="B86" s="40">
        <v>258</v>
      </c>
      <c r="C86" s="38">
        <f t="shared" si="28"/>
        <v>201.25918331046327</v>
      </c>
      <c r="D86" t="s">
        <v>134</v>
      </c>
      <c r="E86">
        <v>1</v>
      </c>
      <c r="F86">
        <v>12</v>
      </c>
      <c r="G86" s="11"/>
      <c r="H86">
        <v>21070</v>
      </c>
      <c r="I86">
        <v>1989</v>
      </c>
      <c r="J86">
        <v>2</v>
      </c>
      <c r="K86" s="51">
        <f>0.148+0.684*LN(40)</f>
        <v>2.671193546613933</v>
      </c>
      <c r="L86" s="70">
        <v>0.171</v>
      </c>
      <c r="M86" s="12">
        <v>0.061</v>
      </c>
      <c r="N86" s="55">
        <v>-0.0007</v>
      </c>
      <c r="O86" s="10">
        <f t="shared" si="32"/>
        <v>5.156100196401933</v>
      </c>
      <c r="P86">
        <v>14.6</v>
      </c>
      <c r="Q86">
        <v>3058</v>
      </c>
      <c r="R86">
        <v>64</v>
      </c>
      <c r="S86" s="3">
        <v>1</v>
      </c>
      <c r="T86">
        <v>7771</v>
      </c>
      <c r="U86">
        <v>15688</v>
      </c>
      <c r="V86" s="20">
        <f>U86/T86</f>
        <v>2.018787800797838</v>
      </c>
      <c r="W86" s="12">
        <v>2.0649294</v>
      </c>
      <c r="X86" s="13">
        <v>1990</v>
      </c>
      <c r="Y86">
        <v>7771</v>
      </c>
      <c r="Z86" s="17">
        <v>10.1</v>
      </c>
      <c r="AA86" s="32">
        <v>19</v>
      </c>
      <c r="AB86" s="41">
        <f t="shared" si="27"/>
        <v>2415.1101997255605</v>
      </c>
      <c r="AC86" s="3">
        <v>1</v>
      </c>
      <c r="AD86" s="48">
        <v>66</v>
      </c>
      <c r="AE86" s="48">
        <f t="shared" si="31"/>
        <v>22.64</v>
      </c>
      <c r="AF86">
        <v>-99</v>
      </c>
      <c r="AG86" s="11"/>
      <c r="AH86" s="3"/>
      <c r="AI86" s="3"/>
      <c r="AJ86" s="3">
        <v>40</v>
      </c>
      <c r="AK86" s="16"/>
      <c r="AL86" s="3" t="str">
        <f t="shared" si="30"/>
        <v>Panama</v>
      </c>
      <c r="AM86" s="46">
        <f t="shared" si="21"/>
        <v>2415.1101997255605</v>
      </c>
      <c r="AN86" s="46">
        <f t="shared" si="22"/>
        <v>1957.12</v>
      </c>
      <c r="AO86" s="14">
        <f t="shared" si="23"/>
        <v>19.925493654440356</v>
      </c>
      <c r="AP86" s="14">
        <f t="shared" si="24"/>
        <v>2.2255409284924674</v>
      </c>
      <c r="AQ86" s="14">
        <f t="shared" si="25"/>
        <v>1.9817890552569948</v>
      </c>
      <c r="AR86" s="14">
        <f t="shared" si="26"/>
        <v>3.9274878595364116</v>
      </c>
      <c r="AS86" t="s">
        <v>186</v>
      </c>
    </row>
    <row r="87" spans="1:45" ht="12.75">
      <c r="A87" t="s">
        <v>61</v>
      </c>
      <c r="B87" s="40">
        <v>51043</v>
      </c>
      <c r="C87" s="38">
        <f t="shared" si="28"/>
        <v>42310.06491567168</v>
      </c>
      <c r="D87" t="s">
        <v>134</v>
      </c>
      <c r="E87">
        <v>1</v>
      </c>
      <c r="F87">
        <v>12</v>
      </c>
      <c r="G87" s="11"/>
      <c r="H87">
        <v>30045</v>
      </c>
      <c r="I87">
        <v>1983</v>
      </c>
      <c r="J87">
        <v>1</v>
      </c>
      <c r="K87" s="51">
        <f>8.007+0.275*LN(48)</f>
        <v>9.07158027799967</v>
      </c>
      <c r="L87" s="70">
        <v>0.105</v>
      </c>
      <c r="M87" s="12">
        <v>0.052</v>
      </c>
      <c r="N87" s="55">
        <v>-0.0008</v>
      </c>
      <c r="O87" s="10">
        <f t="shared" si="32"/>
        <v>6.572880306079334</v>
      </c>
      <c r="P87">
        <v>13.5</v>
      </c>
      <c r="Q87">
        <v>1946</v>
      </c>
      <c r="R87">
        <v>82.99</v>
      </c>
      <c r="S87" s="3">
        <v>146</v>
      </c>
      <c r="T87">
        <v>6257</v>
      </c>
      <c r="U87">
        <v>968</v>
      </c>
      <c r="V87" s="23">
        <f>$V$121+$V$122*T87</f>
        <v>0.7957774</v>
      </c>
      <c r="W87" s="12">
        <v>1.550511</v>
      </c>
      <c r="X87" s="13">
        <v>1980</v>
      </c>
      <c r="Y87">
        <v>6142</v>
      </c>
      <c r="Z87" s="17">
        <v>8.4</v>
      </c>
      <c r="AA87" s="32">
        <v>19</v>
      </c>
      <c r="AB87" s="41">
        <f t="shared" si="27"/>
        <v>3477.5395821100005</v>
      </c>
      <c r="AC87" s="3">
        <v>1</v>
      </c>
      <c r="AD87" s="48">
        <v>80</v>
      </c>
      <c r="AE87" s="48">
        <v>-99</v>
      </c>
      <c r="AF87">
        <v>-99</v>
      </c>
      <c r="AG87" s="11"/>
      <c r="AH87" s="3"/>
      <c r="AI87" s="3"/>
      <c r="AJ87" s="3">
        <v>48</v>
      </c>
      <c r="AK87" s="16"/>
      <c r="AL87" s="3" t="str">
        <f t="shared" si="30"/>
        <v>Paraguay</v>
      </c>
      <c r="AM87" s="46">
        <f t="shared" si="21"/>
        <v>3477.5395821100005</v>
      </c>
      <c r="AN87" s="46">
        <f t="shared" si="22"/>
        <v>1614.9853999999998</v>
      </c>
      <c r="AO87" s="14">
        <f t="shared" si="23"/>
        <v>7.24274298516101</v>
      </c>
      <c r="AP87" s="14">
        <f t="shared" si="24"/>
        <v>1.7506725002961012</v>
      </c>
      <c r="AQ87" s="14">
        <f t="shared" si="25"/>
        <v>1.5219615556186337</v>
      </c>
      <c r="AR87" s="14">
        <f t="shared" si="26"/>
        <v>2.3163669767810915</v>
      </c>
      <c r="AS87" t="s">
        <v>186</v>
      </c>
    </row>
    <row r="88" spans="1:45" ht="12.75">
      <c r="A88" t="s">
        <v>61</v>
      </c>
      <c r="B88" s="40">
        <v>28678</v>
      </c>
      <c r="C88" s="38">
        <f t="shared" si="28"/>
        <v>22606.166518613154</v>
      </c>
      <c r="D88" t="s">
        <v>134</v>
      </c>
      <c r="E88">
        <v>1</v>
      </c>
      <c r="F88">
        <v>12</v>
      </c>
      <c r="G88" s="11"/>
      <c r="H88">
        <v>30045</v>
      </c>
      <c r="I88">
        <v>1983</v>
      </c>
      <c r="J88">
        <v>2</v>
      </c>
      <c r="K88" s="51">
        <f>7.336+0.345*LN(49)</f>
        <v>8.678678002848166</v>
      </c>
      <c r="L88" s="70">
        <v>0.117</v>
      </c>
      <c r="M88" s="12">
        <v>0.032</v>
      </c>
      <c r="N88" s="55">
        <v>-0.0004</v>
      </c>
      <c r="O88" s="10">
        <f t="shared" si="32"/>
        <v>6.179978030927829</v>
      </c>
      <c r="P88">
        <v>13.5</v>
      </c>
      <c r="Q88">
        <v>1946</v>
      </c>
      <c r="R88">
        <v>82.99</v>
      </c>
      <c r="S88" s="3">
        <v>146</v>
      </c>
      <c r="T88">
        <v>6257</v>
      </c>
      <c r="U88">
        <v>968</v>
      </c>
      <c r="V88" s="23">
        <f>$V$121+$V$122*T88</f>
        <v>0.7957774</v>
      </c>
      <c r="W88" s="12">
        <v>1.550511</v>
      </c>
      <c r="X88" s="13">
        <v>1980</v>
      </c>
      <c r="Y88">
        <v>6142</v>
      </c>
      <c r="Z88" s="17">
        <v>7.7</v>
      </c>
      <c r="AA88" s="32">
        <v>18</v>
      </c>
      <c r="AB88" s="41">
        <f t="shared" si="27"/>
        <v>1858.0410837216286</v>
      </c>
      <c r="AC88" s="3">
        <v>1</v>
      </c>
      <c r="AD88" s="48">
        <v>80</v>
      </c>
      <c r="AE88" s="48">
        <f t="shared" si="31"/>
        <v>-99</v>
      </c>
      <c r="AF88">
        <v>-99</v>
      </c>
      <c r="AG88" s="11"/>
      <c r="AH88" s="3"/>
      <c r="AI88" s="3"/>
      <c r="AJ88" s="3">
        <v>49</v>
      </c>
      <c r="AK88" s="16"/>
      <c r="AL88" s="3" t="str">
        <f t="shared" si="30"/>
        <v>Paraguay</v>
      </c>
      <c r="AM88" s="46">
        <f t="shared" si="21"/>
        <v>1858.0410837216286</v>
      </c>
      <c r="AN88" s="46">
        <f t="shared" si="22"/>
        <v>1614.9853999999998</v>
      </c>
      <c r="AO88" s="14">
        <f t="shared" si="23"/>
        <v>6.579771379652823</v>
      </c>
      <c r="AP88" s="14">
        <f t="shared" si="24"/>
        <v>1.4918246976412703</v>
      </c>
      <c r="AQ88" s="14">
        <f t="shared" si="25"/>
        <v>1.5967974026870526</v>
      </c>
      <c r="AR88" s="14">
        <f t="shared" si="26"/>
        <v>2.5497619452281173</v>
      </c>
      <c r="AS88" t="s">
        <v>186</v>
      </c>
    </row>
    <row r="89" spans="1:45" ht="12.75">
      <c r="A89" t="s">
        <v>61</v>
      </c>
      <c r="B89" s="40">
        <v>290496</v>
      </c>
      <c r="C89" s="38">
        <f t="shared" si="28"/>
        <v>255821.5317468397</v>
      </c>
      <c r="D89" t="s">
        <v>38</v>
      </c>
      <c r="E89">
        <v>1</v>
      </c>
      <c r="F89">
        <v>12</v>
      </c>
      <c r="G89" s="11"/>
      <c r="H89">
        <v>30045</v>
      </c>
      <c r="I89">
        <v>1990</v>
      </c>
      <c r="J89">
        <v>1</v>
      </c>
      <c r="K89" s="51">
        <f>9.467+0.319*LN(50)</f>
        <v>10.714935338731578</v>
      </c>
      <c r="L89" s="70">
        <v>0.103</v>
      </c>
      <c r="M89" s="12">
        <v>0.058</v>
      </c>
      <c r="N89" s="55">
        <v>-0.0009</v>
      </c>
      <c r="O89" s="10">
        <f aca="true" t="shared" si="33" ref="O89:O94">K89-LN(S89)+LN(F89)</f>
        <v>6.085072540153115</v>
      </c>
      <c r="P89">
        <v>11.4</v>
      </c>
      <c r="Q89">
        <v>2496</v>
      </c>
      <c r="R89">
        <v>49.32</v>
      </c>
      <c r="S89" s="79">
        <v>1230</v>
      </c>
      <c r="T89">
        <v>6383</v>
      </c>
      <c r="U89">
        <v>912</v>
      </c>
      <c r="V89" s="23">
        <f>$V$121+$V$122*T89</f>
        <v>0.7980706</v>
      </c>
      <c r="W89" s="12">
        <v>1.550511</v>
      </c>
      <c r="X89" s="13">
        <v>1990</v>
      </c>
      <c r="Y89">
        <v>6045</v>
      </c>
      <c r="Z89" s="16">
        <v>9.1</v>
      </c>
      <c r="AA89" s="32">
        <v>20</v>
      </c>
      <c r="AB89" s="41">
        <f t="shared" si="27"/>
        <v>2495.81982192038</v>
      </c>
      <c r="AC89" s="3">
        <v>1</v>
      </c>
      <c r="AD89" s="48">
        <v>80</v>
      </c>
      <c r="AE89" s="48">
        <f t="shared" si="31"/>
        <v>-99</v>
      </c>
      <c r="AF89">
        <v>-99</v>
      </c>
      <c r="AG89" s="11"/>
      <c r="AH89" s="3"/>
      <c r="AI89" s="3"/>
      <c r="AJ89" s="3">
        <v>50</v>
      </c>
      <c r="AK89" s="16"/>
      <c r="AL89" s="3" t="str">
        <f t="shared" si="30"/>
        <v>Paraguay</v>
      </c>
      <c r="AM89" s="46">
        <f t="shared" si="21"/>
        <v>2495.81982192038</v>
      </c>
      <c r="AN89" s="46">
        <f t="shared" si="22"/>
        <v>1231.0272</v>
      </c>
      <c r="AO89" s="14">
        <f t="shared" si="23"/>
        <v>7.659908205005876</v>
      </c>
      <c r="AP89" s="14">
        <f t="shared" si="24"/>
        <v>1.8589280418463425</v>
      </c>
      <c r="AQ89" s="14">
        <f t="shared" si="25"/>
        <v>1.5098344363287448</v>
      </c>
      <c r="AR89" s="14">
        <f t="shared" si="26"/>
        <v>2.2796000251241386</v>
      </c>
      <c r="AS89" t="s">
        <v>186</v>
      </c>
    </row>
    <row r="90" spans="1:45" ht="12.75">
      <c r="A90" t="s">
        <v>61</v>
      </c>
      <c r="B90" s="40">
        <v>165787</v>
      </c>
      <c r="C90" s="38">
        <f t="shared" si="28"/>
        <v>136358.72473780025</v>
      </c>
      <c r="D90" t="s">
        <v>38</v>
      </c>
      <c r="E90">
        <v>1</v>
      </c>
      <c r="F90">
        <v>12</v>
      </c>
      <c r="G90" s="11"/>
      <c r="H90">
        <v>30045</v>
      </c>
      <c r="I90">
        <v>1990</v>
      </c>
      <c r="J90">
        <v>2</v>
      </c>
      <c r="K90" s="51">
        <f>8.763+0.37*LN(48)</f>
        <v>10.195344374035919</v>
      </c>
      <c r="L90" s="70">
        <v>0.121</v>
      </c>
      <c r="M90" s="12">
        <v>0.036</v>
      </c>
      <c r="N90" s="55">
        <v>-0.0003</v>
      </c>
      <c r="O90" s="10">
        <f t="shared" si="33"/>
        <v>5.565481575457456</v>
      </c>
      <c r="P90">
        <v>11.4</v>
      </c>
      <c r="Q90">
        <v>2496</v>
      </c>
      <c r="R90">
        <v>49.32</v>
      </c>
      <c r="S90" s="79">
        <v>1230</v>
      </c>
      <c r="T90">
        <v>6383</v>
      </c>
      <c r="U90">
        <v>912</v>
      </c>
      <c r="V90" s="23">
        <f>$V$121+$V$122*T90</f>
        <v>0.7980706</v>
      </c>
      <c r="W90" s="12">
        <v>1.550511</v>
      </c>
      <c r="X90" s="13">
        <v>1990</v>
      </c>
      <c r="Y90">
        <v>6045</v>
      </c>
      <c r="Z90" s="16">
        <v>8.9</v>
      </c>
      <c r="AA90" s="32">
        <v>18</v>
      </c>
      <c r="AB90" s="41">
        <f t="shared" si="27"/>
        <v>1330.3290218321986</v>
      </c>
      <c r="AC90" s="3">
        <v>1</v>
      </c>
      <c r="AD90" s="48">
        <v>80</v>
      </c>
      <c r="AE90" s="48">
        <f t="shared" si="31"/>
        <v>-99</v>
      </c>
      <c r="AF90">
        <v>-99</v>
      </c>
      <c r="AG90" s="11"/>
      <c r="AH90" s="3"/>
      <c r="AI90" s="3"/>
      <c r="AJ90" s="3">
        <v>48</v>
      </c>
      <c r="AK90" s="16"/>
      <c r="AL90" s="3" t="str">
        <f t="shared" si="30"/>
        <v>Paraguay</v>
      </c>
      <c r="AM90" s="46">
        <f t="shared" si="21"/>
        <v>1330.3290218321986</v>
      </c>
      <c r="AN90" s="46">
        <f t="shared" si="22"/>
        <v>1231.0272</v>
      </c>
      <c r="AO90" s="14">
        <f t="shared" si="23"/>
        <v>7.783452454683977</v>
      </c>
      <c r="AP90" s="14">
        <f t="shared" si="24"/>
        <v>1.7160068621848583</v>
      </c>
      <c r="AQ90" s="14">
        <f t="shared" si="25"/>
        <v>1.6225516456522613</v>
      </c>
      <c r="AR90" s="14">
        <f t="shared" si="26"/>
        <v>2.6326738428088614</v>
      </c>
      <c r="AS90" t="s">
        <v>186</v>
      </c>
    </row>
    <row r="91" spans="1:46" ht="12.75">
      <c r="A91" t="s">
        <v>145</v>
      </c>
      <c r="B91" s="40">
        <v>11142</v>
      </c>
      <c r="C91" s="87">
        <f t="shared" si="28"/>
        <v>6360.739417791783</v>
      </c>
      <c r="D91" t="s">
        <v>117</v>
      </c>
      <c r="E91">
        <v>1</v>
      </c>
      <c r="F91">
        <v>1</v>
      </c>
      <c r="G91" s="11"/>
      <c r="H91">
        <v>30050</v>
      </c>
      <c r="I91">
        <v>1985</v>
      </c>
      <c r="J91">
        <v>1</v>
      </c>
      <c r="K91" s="51">
        <f>-0.176+0.892*LN(1914)</f>
        <v>6.564799910235506</v>
      </c>
      <c r="L91" s="70">
        <v>0.173</v>
      </c>
      <c r="M91" s="12">
        <v>0.057</v>
      </c>
      <c r="N91" s="55">
        <v>-0.0007</v>
      </c>
      <c r="O91" s="10">
        <f t="shared" si="33"/>
        <v>3.929320401968132</v>
      </c>
      <c r="P91">
        <v>15.5</v>
      </c>
      <c r="Q91">
        <v>2565</v>
      </c>
      <c r="R91">
        <v>34.45</v>
      </c>
      <c r="S91" s="9">
        <v>13.95</v>
      </c>
      <c r="T91">
        <v>8141</v>
      </c>
      <c r="U91">
        <v>9480</v>
      </c>
      <c r="V91" s="20">
        <f aca="true" t="shared" si="34" ref="V91:V98">U91/T91</f>
        <v>1.1644761085861688</v>
      </c>
      <c r="W91" s="12">
        <v>2.2991663</v>
      </c>
      <c r="X91" s="13">
        <v>1980</v>
      </c>
      <c r="Y91">
        <v>9063</v>
      </c>
      <c r="Z91" s="16">
        <v>7.1</v>
      </c>
      <c r="AA91" s="32">
        <v>24</v>
      </c>
      <c r="AB91" s="41">
        <f t="shared" si="27"/>
        <v>455.9669833542496</v>
      </c>
      <c r="AC91" s="3">
        <v>1</v>
      </c>
      <c r="AD91" s="48">
        <v>81</v>
      </c>
      <c r="AE91" s="48">
        <v>9.21</v>
      </c>
      <c r="AF91">
        <v>-99</v>
      </c>
      <c r="AG91" s="11"/>
      <c r="AH91" s="3">
        <v>792</v>
      </c>
      <c r="AI91" s="3"/>
      <c r="AJ91" s="3"/>
      <c r="AK91" s="16"/>
      <c r="AL91" s="3" t="str">
        <f t="shared" si="30"/>
        <v>Peru</v>
      </c>
      <c r="AM91" s="46">
        <f t="shared" si="21"/>
        <v>455.9669833542496</v>
      </c>
      <c r="AN91" s="46">
        <f t="shared" si="22"/>
        <v>883.6425000000002</v>
      </c>
      <c r="AO91" s="14">
        <f t="shared" si="23"/>
        <v>18.840334052209098</v>
      </c>
      <c r="AP91" s="14">
        <f t="shared" si="24"/>
        <v>2.054433210643888</v>
      </c>
      <c r="AQ91" s="14">
        <f t="shared" si="25"/>
        <v>1.997706954400252</v>
      </c>
      <c r="AR91" s="14">
        <f t="shared" si="26"/>
        <v>3.9908330756591304</v>
      </c>
      <c r="AS91" t="s">
        <v>186</v>
      </c>
      <c r="AT91" t="s">
        <v>152</v>
      </c>
    </row>
    <row r="92" spans="1:45" ht="12.75">
      <c r="A92" t="s">
        <v>145</v>
      </c>
      <c r="B92" s="40">
        <v>5794</v>
      </c>
      <c r="C92" s="38">
        <f t="shared" si="28"/>
        <v>3369.102448616085</v>
      </c>
      <c r="D92" t="s">
        <v>117</v>
      </c>
      <c r="E92">
        <v>1</v>
      </c>
      <c r="F92">
        <v>1</v>
      </c>
      <c r="G92" s="11"/>
      <c r="H92">
        <v>30050</v>
      </c>
      <c r="I92">
        <v>1985</v>
      </c>
      <c r="J92">
        <v>2</v>
      </c>
      <c r="K92" s="51">
        <f>-0.335+0.86*LN(1564)</f>
        <v>5.990301652150521</v>
      </c>
      <c r="L92" s="70">
        <v>0.189</v>
      </c>
      <c r="M92" s="12">
        <v>0.06</v>
      </c>
      <c r="N92" s="55">
        <v>-0.0008</v>
      </c>
      <c r="O92" s="10">
        <f t="shared" si="33"/>
        <v>3.3548221438831463</v>
      </c>
      <c r="P92">
        <v>15.5</v>
      </c>
      <c r="Q92">
        <v>2565</v>
      </c>
      <c r="R92">
        <v>34.45</v>
      </c>
      <c r="S92" s="9">
        <v>13.95</v>
      </c>
      <c r="T92">
        <v>8141</v>
      </c>
      <c r="U92">
        <v>9480</v>
      </c>
      <c r="V92" s="20">
        <f t="shared" si="34"/>
        <v>1.1644761085861688</v>
      </c>
      <c r="W92" s="12">
        <v>2.2991663</v>
      </c>
      <c r="X92" s="13">
        <v>1980</v>
      </c>
      <c r="Y92">
        <v>9063</v>
      </c>
      <c r="Z92" s="16">
        <v>6.1</v>
      </c>
      <c r="AA92" s="32">
        <v>24</v>
      </c>
      <c r="AB92" s="41">
        <f t="shared" si="27"/>
        <v>241.51272033090228</v>
      </c>
      <c r="AC92" s="3">
        <v>1</v>
      </c>
      <c r="AD92" s="48">
        <v>81</v>
      </c>
      <c r="AE92" s="48">
        <f t="shared" si="31"/>
        <v>9.21</v>
      </c>
      <c r="AF92">
        <v>-99</v>
      </c>
      <c r="AG92" s="11"/>
      <c r="AH92" s="3">
        <v>1564</v>
      </c>
      <c r="AI92" s="3"/>
      <c r="AJ92" s="3"/>
      <c r="AK92" s="16"/>
      <c r="AL92" s="3" t="str">
        <f t="shared" si="30"/>
        <v>Peru</v>
      </c>
      <c r="AM92" s="46">
        <f t="shared" si="21"/>
        <v>241.51272033090228</v>
      </c>
      <c r="AN92" s="46">
        <f t="shared" si="22"/>
        <v>883.6425000000002</v>
      </c>
      <c r="AO92" s="82">
        <f t="shared" si="23"/>
        <v>23.28943909281079</v>
      </c>
      <c r="AP92" s="14">
        <f t="shared" si="24"/>
        <v>2.0544332106438876</v>
      </c>
      <c r="AQ92" s="14">
        <f t="shared" si="25"/>
        <v>2.1297401990391056</v>
      </c>
      <c r="AR92" s="14">
        <f t="shared" si="26"/>
        <v>4.535793315403129</v>
      </c>
      <c r="AS92" t="s">
        <v>186</v>
      </c>
    </row>
    <row r="93" spans="1:46" ht="12.75">
      <c r="A93" t="s">
        <v>145</v>
      </c>
      <c r="B93" s="40">
        <v>11482</v>
      </c>
      <c r="C93" s="38">
        <f t="shared" si="28"/>
        <v>6812.413538511641</v>
      </c>
      <c r="D93" t="s">
        <v>146</v>
      </c>
      <c r="E93">
        <v>1</v>
      </c>
      <c r="F93">
        <v>12000</v>
      </c>
      <c r="G93" s="11"/>
      <c r="H93">
        <v>30050</v>
      </c>
      <c r="I93">
        <v>1990</v>
      </c>
      <c r="J93">
        <v>1</v>
      </c>
      <c r="K93" s="51">
        <f>6.467+0.355*LN(8)</f>
        <v>7.205201747296341</v>
      </c>
      <c r="L93" s="70">
        <v>0.085</v>
      </c>
      <c r="M93" s="12">
        <v>0.053</v>
      </c>
      <c r="N93" s="55">
        <v>-0.0007</v>
      </c>
      <c r="O93" s="10">
        <f t="shared" si="33"/>
        <v>5.901044299056641</v>
      </c>
      <c r="P93">
        <v>11.9</v>
      </c>
      <c r="Q93">
        <v>2603</v>
      </c>
      <c r="R93">
        <v>59.68</v>
      </c>
      <c r="S93" s="47">
        <f>0.044215*1000000</f>
        <v>44215</v>
      </c>
      <c r="T93">
        <v>6847</v>
      </c>
      <c r="U93">
        <v>8796</v>
      </c>
      <c r="V93" s="20">
        <f t="shared" si="34"/>
        <v>1.2846502117715788</v>
      </c>
      <c r="W93" s="12">
        <v>2.2991663</v>
      </c>
      <c r="X93" s="13">
        <v>1990</v>
      </c>
      <c r="Y93">
        <v>7050</v>
      </c>
      <c r="Z93" s="16">
        <v>10.2</v>
      </c>
      <c r="AA93" s="32">
        <v>19</v>
      </c>
      <c r="AB93" s="41">
        <f t="shared" si="27"/>
        <v>1848.8965840131111</v>
      </c>
      <c r="AC93" s="32">
        <v>1</v>
      </c>
      <c r="AD93" s="48">
        <v>81</v>
      </c>
      <c r="AE93" s="48">
        <f t="shared" si="31"/>
        <v>9.21</v>
      </c>
      <c r="AF93">
        <v>12.99</v>
      </c>
      <c r="AG93" s="11"/>
      <c r="AH93" s="3"/>
      <c r="AI93" s="3"/>
      <c r="AJ93" s="3"/>
      <c r="AK93" s="16">
        <v>8.5</v>
      </c>
      <c r="AL93" s="3" t="str">
        <f t="shared" si="30"/>
        <v>Peru</v>
      </c>
      <c r="AM93" s="46">
        <f t="shared" si="21"/>
        <v>1848.8965840131111</v>
      </c>
      <c r="AN93" s="46">
        <f t="shared" si="22"/>
        <v>1553.4704000000002</v>
      </c>
      <c r="AO93" s="14">
        <f t="shared" si="23"/>
        <v>6.0496474644129465</v>
      </c>
      <c r="AP93" s="14">
        <f t="shared" si="24"/>
        <v>1.896480879304951</v>
      </c>
      <c r="AQ93" s="14">
        <f t="shared" si="25"/>
        <v>1.4049475905635938</v>
      </c>
      <c r="AR93" s="14">
        <f t="shared" si="26"/>
        <v>1.9738777322304477</v>
      </c>
      <c r="AS93" t="s">
        <v>186</v>
      </c>
      <c r="AT93" s="7"/>
    </row>
    <row r="94" spans="1:45" ht="12.75">
      <c r="A94" t="s">
        <v>145</v>
      </c>
      <c r="B94" s="40">
        <v>6937</v>
      </c>
      <c r="C94" s="38">
        <f t="shared" si="28"/>
        <v>4605.123803243775</v>
      </c>
      <c r="D94" t="s">
        <v>146</v>
      </c>
      <c r="E94">
        <v>1</v>
      </c>
      <c r="F94">
        <v>12000</v>
      </c>
      <c r="G94" s="11"/>
      <c r="H94">
        <v>30050</v>
      </c>
      <c r="I94">
        <v>1990</v>
      </c>
      <c r="J94">
        <v>2</v>
      </c>
      <c r="K94" s="51">
        <f>6.176+0.473*LN(7.1)</f>
        <v>7.103124832854359</v>
      </c>
      <c r="L94" s="70">
        <v>0.065</v>
      </c>
      <c r="M94" s="12">
        <v>0.053</v>
      </c>
      <c r="N94" s="55">
        <v>-0.0008</v>
      </c>
      <c r="O94" s="10">
        <f t="shared" si="33"/>
        <v>5.798967384614659</v>
      </c>
      <c r="P94">
        <v>11.9</v>
      </c>
      <c r="Q94">
        <v>2603</v>
      </c>
      <c r="R94">
        <v>59.68</v>
      </c>
      <c r="S94" s="47">
        <f>0.044215*1000000</f>
        <v>44215</v>
      </c>
      <c r="T94">
        <v>6847</v>
      </c>
      <c r="U94">
        <v>8796</v>
      </c>
      <c r="V94" s="20">
        <f t="shared" si="34"/>
        <v>1.2846502117715788</v>
      </c>
      <c r="W94" s="12">
        <v>2.2991663</v>
      </c>
      <c r="X94" s="13">
        <v>1990</v>
      </c>
      <c r="Y94">
        <v>7050</v>
      </c>
      <c r="Z94" s="16">
        <v>9.8</v>
      </c>
      <c r="AA94" s="32">
        <v>18</v>
      </c>
      <c r="AB94" s="41">
        <f t="shared" si="27"/>
        <v>1249.8357036961477</v>
      </c>
      <c r="AC94" s="32">
        <v>1</v>
      </c>
      <c r="AD94" s="48">
        <v>81</v>
      </c>
      <c r="AE94" s="48">
        <f t="shared" si="31"/>
        <v>9.21</v>
      </c>
      <c r="AF94">
        <v>-99</v>
      </c>
      <c r="AG94" s="11"/>
      <c r="AH94" s="3"/>
      <c r="AI94" s="3"/>
      <c r="AJ94" s="3"/>
      <c r="AK94" s="16">
        <v>7.1</v>
      </c>
      <c r="AL94" s="3" t="str">
        <f t="shared" si="30"/>
        <v>Peru</v>
      </c>
      <c r="AM94" s="46">
        <f t="shared" si="21"/>
        <v>1249.8357036961477</v>
      </c>
      <c r="AN94" s="46">
        <f t="shared" si="22"/>
        <v>1553.4704000000002</v>
      </c>
      <c r="AO94" s="14">
        <f t="shared" si="23"/>
        <v>4.572225195142159</v>
      </c>
      <c r="AP94" s="14">
        <f t="shared" si="24"/>
        <v>1.7860384307500734</v>
      </c>
      <c r="AQ94" s="14">
        <f t="shared" si="25"/>
        <v>1.2969300866657718</v>
      </c>
      <c r="AR94" s="14">
        <f t="shared" si="26"/>
        <v>1.6820276496988864</v>
      </c>
      <c r="AS94" t="s">
        <v>186</v>
      </c>
    </row>
    <row r="95" spans="1:45" ht="12.75">
      <c r="A95" t="s">
        <v>23</v>
      </c>
      <c r="B95" s="40">
        <v>20735</v>
      </c>
      <c r="C95" s="38">
        <f t="shared" si="28"/>
        <v>11316.306300864151</v>
      </c>
      <c r="D95" t="s">
        <v>33</v>
      </c>
      <c r="E95">
        <v>1</v>
      </c>
      <c r="F95">
        <v>1</v>
      </c>
      <c r="G95" s="11"/>
      <c r="H95">
        <v>51500</v>
      </c>
      <c r="I95">
        <v>1988</v>
      </c>
      <c r="J95">
        <v>1</v>
      </c>
      <c r="K95" s="51">
        <v>8.043</v>
      </c>
      <c r="L95" s="70">
        <v>0.119</v>
      </c>
      <c r="M95" s="12">
        <v>0.023</v>
      </c>
      <c r="N95" s="55">
        <v>-0.0006</v>
      </c>
      <c r="O95" s="10">
        <f aca="true" t="shared" si="35" ref="O95:O108">K95-LN(S95)+LN(F95)</f>
        <v>4.9937269595179785</v>
      </c>
      <c r="P95">
        <v>9.4</v>
      </c>
      <c r="Q95">
        <v>1861</v>
      </c>
      <c r="R95">
        <v>34.08</v>
      </c>
      <c r="S95" s="9">
        <v>21.1</v>
      </c>
      <c r="T95">
        <v>4565</v>
      </c>
      <c r="U95">
        <v>3745</v>
      </c>
      <c r="V95" s="20">
        <f t="shared" si="34"/>
        <v>0.8203723986856517</v>
      </c>
      <c r="W95" s="12">
        <v>2.1366018</v>
      </c>
      <c r="X95" s="13">
        <v>1990</v>
      </c>
      <c r="Y95">
        <v>4718</v>
      </c>
      <c r="Z95" s="16">
        <v>9</v>
      </c>
      <c r="AA95" s="75">
        <f>$AA$6</f>
        <v>20</v>
      </c>
      <c r="AB95" s="41">
        <f t="shared" si="27"/>
        <v>536.3178341641783</v>
      </c>
      <c r="AC95" s="3">
        <v>1</v>
      </c>
      <c r="AD95" s="48">
        <v>106</v>
      </c>
      <c r="AE95" s="48">
        <v>12</v>
      </c>
      <c r="AF95">
        <v>14.05</v>
      </c>
      <c r="AG95" s="11"/>
      <c r="AH95" s="3"/>
      <c r="AI95" s="3"/>
      <c r="AJ95" s="3"/>
      <c r="AK95" s="16"/>
      <c r="AL95" s="3" t="str">
        <f t="shared" si="30"/>
        <v>Philippines</v>
      </c>
      <c r="AM95" s="46">
        <f t="shared" si="21"/>
        <v>536.3178341641783</v>
      </c>
      <c r="AN95" s="46">
        <f t="shared" si="22"/>
        <v>634.2288</v>
      </c>
      <c r="AO95" s="14">
        <f t="shared" si="23"/>
        <v>5.196576274545973</v>
      </c>
      <c r="AP95" s="14">
        <f t="shared" si="24"/>
        <v>1.1051709180756475</v>
      </c>
      <c r="AQ95" s="14">
        <f t="shared" si="25"/>
        <v>1.6096230159584366</v>
      </c>
      <c r="AR95" s="14">
        <f t="shared" si="26"/>
        <v>2.590886253503134</v>
      </c>
      <c r="AS95" t="s">
        <v>24</v>
      </c>
    </row>
    <row r="96" spans="1:45" ht="12.75">
      <c r="A96" t="s">
        <v>23</v>
      </c>
      <c r="B96" s="40">
        <v>18122</v>
      </c>
      <c r="C96" s="38">
        <f t="shared" si="28"/>
        <v>11316.306300864151</v>
      </c>
      <c r="D96" t="s">
        <v>33</v>
      </c>
      <c r="E96">
        <v>1</v>
      </c>
      <c r="F96">
        <v>1</v>
      </c>
      <c r="G96" s="11"/>
      <c r="H96">
        <v>51500</v>
      </c>
      <c r="I96">
        <v>1988</v>
      </c>
      <c r="J96">
        <v>2</v>
      </c>
      <c r="K96" s="51">
        <v>8.043</v>
      </c>
      <c r="L96" s="70">
        <v>0.119</v>
      </c>
      <c r="M96" s="12">
        <v>0.023</v>
      </c>
      <c r="N96" s="55">
        <v>-0.0006</v>
      </c>
      <c r="O96" s="10">
        <f t="shared" si="35"/>
        <v>4.9937269595179785</v>
      </c>
      <c r="P96">
        <v>9.4</v>
      </c>
      <c r="Q96">
        <v>1861</v>
      </c>
      <c r="R96">
        <v>34.08</v>
      </c>
      <c r="S96" s="12">
        <v>21.1</v>
      </c>
      <c r="T96">
        <v>4565</v>
      </c>
      <c r="U96">
        <v>3745</v>
      </c>
      <c r="V96" s="20">
        <f t="shared" si="34"/>
        <v>0.8203723986856517</v>
      </c>
      <c r="W96" s="12">
        <v>2.1366018</v>
      </c>
      <c r="X96" s="13">
        <v>1990</v>
      </c>
      <c r="Y96">
        <v>4718</v>
      </c>
      <c r="Z96" s="16">
        <v>9</v>
      </c>
      <c r="AA96" s="75">
        <f>$AA$6</f>
        <v>20</v>
      </c>
      <c r="AB96" s="41">
        <f t="shared" si="27"/>
        <v>536.3178341641783</v>
      </c>
      <c r="AC96" s="3">
        <v>1</v>
      </c>
      <c r="AD96" s="48">
        <v>106</v>
      </c>
      <c r="AE96" s="48">
        <f t="shared" si="31"/>
        <v>12</v>
      </c>
      <c r="AF96">
        <v>-99</v>
      </c>
      <c r="AG96" s="11"/>
      <c r="AH96" s="3"/>
      <c r="AI96" s="3"/>
      <c r="AJ96" s="3"/>
      <c r="AK96" s="16"/>
      <c r="AL96" s="3" t="str">
        <f t="shared" si="30"/>
        <v>Philippines</v>
      </c>
      <c r="AM96" s="46">
        <f t="shared" si="21"/>
        <v>536.3178341641783</v>
      </c>
      <c r="AN96" s="46">
        <f t="shared" si="22"/>
        <v>634.2288</v>
      </c>
      <c r="AO96" s="14">
        <f t="shared" si="23"/>
        <v>5.196576274545973</v>
      </c>
      <c r="AP96" s="14">
        <f t="shared" si="24"/>
        <v>1.1051709180756475</v>
      </c>
      <c r="AQ96" s="14">
        <f t="shared" si="25"/>
        <v>1.6096230159584366</v>
      </c>
      <c r="AR96" s="14">
        <f t="shared" si="26"/>
        <v>2.590886253503134</v>
      </c>
      <c r="AS96" t="str">
        <f>AS95</f>
        <v>Hossai/Psacharopoulos (1994)</v>
      </c>
    </row>
    <row r="97" spans="1:45" ht="12.75">
      <c r="A97" t="s">
        <v>104</v>
      </c>
      <c r="B97" s="40">
        <v>341713</v>
      </c>
      <c r="C97" s="38">
        <f t="shared" si="28"/>
        <v>333910.7113726943</v>
      </c>
      <c r="D97" t="s">
        <v>185</v>
      </c>
      <c r="E97">
        <v>1</v>
      </c>
      <c r="F97">
        <v>1</v>
      </c>
      <c r="G97" s="11"/>
      <c r="H97">
        <v>45500</v>
      </c>
      <c r="I97">
        <v>1986</v>
      </c>
      <c r="J97">
        <v>1</v>
      </c>
      <c r="K97" s="51">
        <v>12.017</v>
      </c>
      <c r="L97" s="70">
        <v>0.0287</v>
      </c>
      <c r="M97" s="12">
        <v>0.0285</v>
      </c>
      <c r="N97" s="55">
        <v>-0.000502</v>
      </c>
      <c r="O97" s="10">
        <f t="shared" si="35"/>
        <v>6.850501208072811</v>
      </c>
      <c r="P97">
        <v>25.3</v>
      </c>
      <c r="Q97">
        <v>4435</v>
      </c>
      <c r="R97">
        <v>44.48</v>
      </c>
      <c r="S97">
        <v>175.3</v>
      </c>
      <c r="T97">
        <v>8388</v>
      </c>
      <c r="U97">
        <v>11288</v>
      </c>
      <c r="V97" s="20">
        <f t="shared" si="34"/>
        <v>1.345731998092513</v>
      </c>
      <c r="W97" s="36">
        <f>V97/V7*W7</f>
        <v>3.5493514552462266</v>
      </c>
      <c r="X97" s="13">
        <v>1990</v>
      </c>
      <c r="Y97">
        <v>8826</v>
      </c>
      <c r="Z97" s="17">
        <v>11.1</v>
      </c>
      <c r="AA97" s="32">
        <v>21.85</v>
      </c>
      <c r="AB97" s="41">
        <f t="shared" si="27"/>
        <v>1904.795843540757</v>
      </c>
      <c r="AC97" s="3">
        <v>1</v>
      </c>
      <c r="AD97" s="48">
        <v>135</v>
      </c>
      <c r="AE97" s="48">
        <v>3.75</v>
      </c>
      <c r="AF97">
        <v>12.77</v>
      </c>
      <c r="AG97" s="11"/>
      <c r="AH97" s="3"/>
      <c r="AI97" s="3"/>
      <c r="AJ97" s="3"/>
      <c r="AK97" s="16"/>
      <c r="AL97" s="3" t="str">
        <f t="shared" si="30"/>
        <v>Poland</v>
      </c>
      <c r="AM97" s="46">
        <f t="shared" si="21"/>
        <v>1904.795843540757</v>
      </c>
      <c r="AN97" s="46">
        <f t="shared" si="22"/>
        <v>1972.6879999999999</v>
      </c>
      <c r="AO97" s="14">
        <f t="shared" si="23"/>
        <v>2.0413268232717963</v>
      </c>
      <c r="AP97" s="14">
        <f t="shared" si="24"/>
        <v>1.3083934361896155</v>
      </c>
      <c r="AQ97" s="14">
        <f t="shared" si="25"/>
        <v>1.1216490853203969</v>
      </c>
      <c r="AR97" s="14">
        <f t="shared" si="26"/>
        <v>1.2580966706000831</v>
      </c>
      <c r="AS97" t="s">
        <v>102</v>
      </c>
    </row>
    <row r="98" spans="1:45" ht="12.75">
      <c r="A98" t="s">
        <v>125</v>
      </c>
      <c r="B98" s="40">
        <v>10253</v>
      </c>
      <c r="C98" s="38">
        <f t="shared" si="28"/>
        <v>10246.915372428744</v>
      </c>
      <c r="D98" t="s">
        <v>134</v>
      </c>
      <c r="E98">
        <v>1</v>
      </c>
      <c r="F98">
        <v>12</v>
      </c>
      <c r="G98" s="11"/>
      <c r="H98" s="37">
        <v>43600</v>
      </c>
      <c r="I98">
        <v>1977</v>
      </c>
      <c r="J98">
        <v>1</v>
      </c>
      <c r="K98" s="51">
        <v>7.833</v>
      </c>
      <c r="L98" s="70">
        <v>0.081</v>
      </c>
      <c r="M98" s="12">
        <v>0.06</v>
      </c>
      <c r="N98" s="55">
        <v>-0.0008</v>
      </c>
      <c r="O98" s="10">
        <f t="shared" si="35"/>
        <v>6.672979083203247</v>
      </c>
      <c r="P98">
        <v>30.6</v>
      </c>
      <c r="Q98">
        <v>2745</v>
      </c>
      <c r="R98">
        <v>63</v>
      </c>
      <c r="S98">
        <v>38.28</v>
      </c>
      <c r="T98">
        <v>10905</v>
      </c>
      <c r="U98">
        <v>7441</v>
      </c>
      <c r="V98" s="20">
        <f t="shared" si="34"/>
        <v>0.6823475469967905</v>
      </c>
      <c r="W98" s="12">
        <v>2.5840993</v>
      </c>
      <c r="X98" s="13">
        <v>1980</v>
      </c>
      <c r="Y98">
        <v>11138</v>
      </c>
      <c r="Z98" s="17">
        <v>4.7</v>
      </c>
      <c r="AA98" s="32">
        <v>26.1</v>
      </c>
      <c r="AB98" s="41">
        <f t="shared" si="27"/>
        <v>3212.1991763099504</v>
      </c>
      <c r="AC98" s="3">
        <v>1</v>
      </c>
      <c r="AD98" s="48">
        <v>136</v>
      </c>
      <c r="AE98" s="48">
        <v>7.44</v>
      </c>
      <c r="AF98">
        <v>8.29</v>
      </c>
      <c r="AG98" s="11"/>
      <c r="AH98" s="3"/>
      <c r="AI98" s="3">
        <v>190</v>
      </c>
      <c r="AJ98" s="3"/>
      <c r="AK98" s="16"/>
      <c r="AL98" s="3" t="str">
        <f t="shared" si="30"/>
        <v>Portugal</v>
      </c>
      <c r="AM98" s="46">
        <f t="shared" si="21"/>
        <v>3212.1991763099504</v>
      </c>
      <c r="AN98" s="46">
        <f t="shared" si="22"/>
        <v>1729.35</v>
      </c>
      <c r="AO98" s="14">
        <f>EXP(L98*12+20*M98+400*N98)</f>
        <v>6.3725518897700795</v>
      </c>
      <c r="AP98" s="14">
        <f>EXP(M98*25+N98*25^2)/EXP(M98*5+N98*25)</f>
        <v>2.0544332106438876</v>
      </c>
      <c r="AQ98" s="14">
        <f>EXP(L98*4)</f>
        <v>1.3826473071194796</v>
      </c>
      <c r="AR98" s="14">
        <f>EXP(L98*8)</f>
        <v>1.9117135758847483</v>
      </c>
      <c r="AS98" t="s">
        <v>280</v>
      </c>
    </row>
    <row r="99" spans="1:46" ht="12.75">
      <c r="A99" t="s">
        <v>51</v>
      </c>
      <c r="B99" s="40">
        <v>4.14</v>
      </c>
      <c r="C99" s="38">
        <f t="shared" si="28"/>
        <v>3.581182309711207</v>
      </c>
      <c r="D99" t="s">
        <v>52</v>
      </c>
      <c r="E99">
        <v>1</v>
      </c>
      <c r="F99">
        <v>2000</v>
      </c>
      <c r="G99" s="11"/>
      <c r="H99">
        <v>11000</v>
      </c>
      <c r="I99">
        <v>1980</v>
      </c>
      <c r="J99">
        <v>1</v>
      </c>
      <c r="K99" s="51">
        <f>0.144-0.075</f>
        <v>0.06899999999999999</v>
      </c>
      <c r="L99" s="70">
        <v>0.077</v>
      </c>
      <c r="M99" s="12">
        <v>0.024</v>
      </c>
      <c r="N99" s="55">
        <v>-0.0003</v>
      </c>
      <c r="O99" s="10">
        <f t="shared" si="35"/>
        <v>7.669902459542082</v>
      </c>
      <c r="P99">
        <v>42.3</v>
      </c>
      <c r="Q99">
        <v>5026</v>
      </c>
      <c r="R99">
        <v>89.61</v>
      </c>
      <c r="S99" s="12">
        <v>1</v>
      </c>
      <c r="T99">
        <v>22068</v>
      </c>
      <c r="U99">
        <v>-999.99</v>
      </c>
      <c r="V99" s="23">
        <f>$V$121+$V$122*T99</f>
        <v>1.0835375999999999</v>
      </c>
      <c r="W99" s="12">
        <v>2.0449844</v>
      </c>
      <c r="X99" s="13">
        <v>1980</v>
      </c>
      <c r="Y99">
        <v>22293</v>
      </c>
      <c r="Z99" s="21">
        <v>10.8</v>
      </c>
      <c r="AA99" s="32">
        <f>38.1-10.8-6</f>
        <v>21.3</v>
      </c>
      <c r="AB99" s="41">
        <f t="shared" si="27"/>
        <v>7162.364619422416</v>
      </c>
      <c r="AC99" s="3">
        <v>1</v>
      </c>
      <c r="AD99" s="48">
        <v>67</v>
      </c>
      <c r="AE99" s="48">
        <v>22.2</v>
      </c>
      <c r="AF99">
        <v>-99</v>
      </c>
      <c r="AG99" s="11"/>
      <c r="AH99" s="3"/>
      <c r="AI99" s="3"/>
      <c r="AJ99" s="3"/>
      <c r="AK99" s="16"/>
      <c r="AL99" s="3" t="str">
        <f t="shared" si="30"/>
        <v>Puerto Rico</v>
      </c>
      <c r="AM99" s="46">
        <f t="shared" si="21"/>
        <v>7162.364619422416</v>
      </c>
      <c r="AN99" s="46">
        <f t="shared" si="22"/>
        <v>4503.7986</v>
      </c>
      <c r="AO99" s="14">
        <f t="shared" si="23"/>
        <v>3.6110550959919143</v>
      </c>
      <c r="AP99" s="14">
        <f t="shared" si="24"/>
        <v>1.3498588075760032</v>
      </c>
      <c r="AQ99" s="14">
        <f t="shared" si="25"/>
        <v>1.3607009889371502</v>
      </c>
      <c r="AR99" s="14">
        <f t="shared" si="26"/>
        <v>1.8515071812945383</v>
      </c>
      <c r="AS99" t="s">
        <v>53</v>
      </c>
      <c r="AT99" t="s">
        <v>122</v>
      </c>
    </row>
    <row r="100" spans="1:46" ht="12.75">
      <c r="A100" t="s">
        <v>51</v>
      </c>
      <c r="B100" s="40">
        <v>4.14</v>
      </c>
      <c r="C100" s="38">
        <f t="shared" si="28"/>
        <v>3.581182309711207</v>
      </c>
      <c r="D100" t="s">
        <v>52</v>
      </c>
      <c r="E100">
        <v>1</v>
      </c>
      <c r="F100">
        <v>2000</v>
      </c>
      <c r="G100" s="11"/>
      <c r="H100">
        <v>11000</v>
      </c>
      <c r="I100">
        <v>1980</v>
      </c>
      <c r="J100">
        <v>2</v>
      </c>
      <c r="K100" s="51">
        <f>0.144-0.075</f>
        <v>0.06899999999999999</v>
      </c>
      <c r="L100" s="70">
        <v>0.077</v>
      </c>
      <c r="M100" s="12">
        <v>0.024</v>
      </c>
      <c r="N100" s="55">
        <v>-0.0003</v>
      </c>
      <c r="O100" s="10">
        <f t="shared" si="35"/>
        <v>7.669902459542082</v>
      </c>
      <c r="P100">
        <v>42.3</v>
      </c>
      <c r="Q100">
        <v>5026</v>
      </c>
      <c r="R100">
        <v>89.61</v>
      </c>
      <c r="S100" s="12">
        <v>1</v>
      </c>
      <c r="T100">
        <v>22068</v>
      </c>
      <c r="U100">
        <v>-999.99</v>
      </c>
      <c r="V100" s="23">
        <f>$V$121+$V$122*T100</f>
        <v>1.0835375999999999</v>
      </c>
      <c r="W100" s="12">
        <v>2.0449844</v>
      </c>
      <c r="X100" s="13">
        <v>1980</v>
      </c>
      <c r="Y100">
        <v>22293</v>
      </c>
      <c r="Z100" s="21">
        <v>10.8</v>
      </c>
      <c r="AA100" s="32">
        <f>38.1-10.8-6</f>
        <v>21.3</v>
      </c>
      <c r="AB100" s="41">
        <f t="shared" si="27"/>
        <v>7162.364619422416</v>
      </c>
      <c r="AC100" s="3">
        <v>1</v>
      </c>
      <c r="AD100" s="48">
        <v>67</v>
      </c>
      <c r="AE100" s="48">
        <f t="shared" si="31"/>
        <v>22.2</v>
      </c>
      <c r="AF100">
        <v>-99</v>
      </c>
      <c r="AG100" s="11"/>
      <c r="AH100" s="3"/>
      <c r="AI100" s="3"/>
      <c r="AJ100" s="3"/>
      <c r="AK100" s="16"/>
      <c r="AL100" s="3" t="str">
        <f t="shared" si="30"/>
        <v>Puerto Rico</v>
      </c>
      <c r="AM100" s="46">
        <f t="shared" si="21"/>
        <v>7162.364619422416</v>
      </c>
      <c r="AN100" s="46">
        <f t="shared" si="22"/>
        <v>4503.7986</v>
      </c>
      <c r="AO100" s="14">
        <f t="shared" si="23"/>
        <v>3.6110550959919143</v>
      </c>
      <c r="AP100" s="14">
        <f t="shared" si="24"/>
        <v>1.3498588075760032</v>
      </c>
      <c r="AQ100" s="14">
        <f t="shared" si="25"/>
        <v>1.3607009889371502</v>
      </c>
      <c r="AR100" s="14">
        <f t="shared" si="26"/>
        <v>1.8515071812945383</v>
      </c>
      <c r="AS100" t="s">
        <v>53</v>
      </c>
      <c r="AT100" t="s">
        <v>123</v>
      </c>
    </row>
    <row r="101" spans="1:45" ht="12.75">
      <c r="A101" t="s">
        <v>173</v>
      </c>
      <c r="B101" s="43">
        <f>EXP(0.825)</f>
        <v>2.2818807653293036</v>
      </c>
      <c r="C101" s="44">
        <f t="shared" si="28"/>
        <v>2.54383605344323</v>
      </c>
      <c r="D101" t="s">
        <v>52</v>
      </c>
      <c r="E101">
        <v>1</v>
      </c>
      <c r="F101">
        <v>2000</v>
      </c>
      <c r="G101" s="11"/>
      <c r="H101">
        <v>51600</v>
      </c>
      <c r="I101">
        <v>1974</v>
      </c>
      <c r="J101">
        <v>1</v>
      </c>
      <c r="K101" s="51">
        <v>-0.543</v>
      </c>
      <c r="L101" s="70">
        <v>0.113</v>
      </c>
      <c r="M101" s="12">
        <v>0.062</v>
      </c>
      <c r="N101" s="55">
        <v>-0.001</v>
      </c>
      <c r="O101" s="10">
        <f t="shared" si="35"/>
        <v>6.167134684899013</v>
      </c>
      <c r="P101">
        <v>34.4</v>
      </c>
      <c r="Q101">
        <v>2351</v>
      </c>
      <c r="R101">
        <v>110.08</v>
      </c>
      <c r="S101" s="12">
        <v>2.437</v>
      </c>
      <c r="T101">
        <v>12328</v>
      </c>
      <c r="U101">
        <v>-999.99</v>
      </c>
      <c r="V101" s="23">
        <f>$V$121+$V$122*T101</f>
        <v>0.9062695999999999</v>
      </c>
      <c r="W101" s="12">
        <v>2.7769166</v>
      </c>
      <c r="X101" s="13">
        <v>1980</v>
      </c>
      <c r="Y101">
        <v>14713</v>
      </c>
      <c r="Z101" s="21">
        <v>7.543</v>
      </c>
      <c r="AA101" s="32">
        <v>12.651</v>
      </c>
      <c r="AB101" s="41">
        <f t="shared" si="27"/>
        <v>2087.678336843027</v>
      </c>
      <c r="AC101" s="3">
        <v>1</v>
      </c>
      <c r="AD101" s="48">
        <v>109</v>
      </c>
      <c r="AE101" s="48">
        <v>6.71</v>
      </c>
      <c r="AF101">
        <v>-99</v>
      </c>
      <c r="AG101" s="11"/>
      <c r="AH101" s="3"/>
      <c r="AI101" s="3"/>
      <c r="AJ101" s="3"/>
      <c r="AK101" s="16"/>
      <c r="AL101" s="3" t="str">
        <f t="shared" si="30"/>
        <v>Singapore</v>
      </c>
      <c r="AM101" s="46">
        <f t="shared" si="21"/>
        <v>2087.678336843027</v>
      </c>
      <c r="AN101" s="46">
        <f t="shared" si="22"/>
        <v>2587.9808</v>
      </c>
      <c r="AO101" s="14">
        <f>EXP(L101*12+20*M101+400*N101)</f>
        <v>8.98898554937376</v>
      </c>
      <c r="AP101" s="14">
        <f>EXP(M101*25+N101*25^2)/EXP(M101*5+N101*25)</f>
        <v>1.8964808793049515</v>
      </c>
      <c r="AQ101" s="14">
        <f>EXP(L101*4)</f>
        <v>1.571451948577649</v>
      </c>
      <c r="AR101" s="14">
        <f>EXP(L101*8)</f>
        <v>2.46946122668849</v>
      </c>
      <c r="AS101" t="s">
        <v>174</v>
      </c>
    </row>
    <row r="102" spans="1:45" ht="12.75">
      <c r="A102" t="s">
        <v>126</v>
      </c>
      <c r="B102" s="78">
        <f>EXP(13.86)</f>
        <v>1045493.9383645338</v>
      </c>
      <c r="C102" s="79">
        <f t="shared" si="28"/>
        <v>1208676.5032846543</v>
      </c>
      <c r="D102" t="s">
        <v>117</v>
      </c>
      <c r="E102">
        <v>1</v>
      </c>
      <c r="F102">
        <v>1</v>
      </c>
      <c r="G102" s="11"/>
      <c r="H102">
        <v>43800</v>
      </c>
      <c r="I102">
        <v>1990</v>
      </c>
      <c r="J102">
        <v>1</v>
      </c>
      <c r="K102" s="51">
        <f>12.527+0.0801-0.2125</f>
        <v>12.394599999999999</v>
      </c>
      <c r="L102" s="70">
        <v>0.0931</v>
      </c>
      <c r="M102" s="12">
        <v>0.0558</v>
      </c>
      <c r="N102" s="55">
        <v>-0.0008</v>
      </c>
      <c r="O102" s="10">
        <f t="shared" si="35"/>
        <v>7.77060805977132</v>
      </c>
      <c r="P102">
        <v>53.9</v>
      </c>
      <c r="Q102">
        <v>11765</v>
      </c>
      <c r="R102">
        <v>107.31</v>
      </c>
      <c r="S102" s="12">
        <v>101.9</v>
      </c>
      <c r="T102">
        <v>26364</v>
      </c>
      <c r="U102">
        <v>27300</v>
      </c>
      <c r="V102" s="20">
        <f>U102/T102</f>
        <v>1.0355029585798816</v>
      </c>
      <c r="W102" s="35">
        <v>2.8530148</v>
      </c>
      <c r="X102" s="13">
        <v>1990</v>
      </c>
      <c r="Y102">
        <v>25518</v>
      </c>
      <c r="Z102" s="21">
        <v>7.99</v>
      </c>
      <c r="AA102" s="32">
        <v>23.34</v>
      </c>
      <c r="AB102" s="41">
        <f t="shared" si="27"/>
        <v>11861.398462067265</v>
      </c>
      <c r="AC102" s="3">
        <v>1</v>
      </c>
      <c r="AD102" s="48">
        <v>138</v>
      </c>
      <c r="AE102" s="32">
        <v>4.34</v>
      </c>
      <c r="AF102">
        <v>-99</v>
      </c>
      <c r="AG102" s="11"/>
      <c r="AH102" s="3"/>
      <c r="AI102" s="3"/>
      <c r="AJ102" s="3"/>
      <c r="AK102" s="16"/>
      <c r="AL102" s="3" t="str">
        <f t="shared" si="30"/>
        <v>Spain</v>
      </c>
      <c r="AM102" s="46">
        <f t="shared" si="21"/>
        <v>11861.398462067265</v>
      </c>
      <c r="AN102" s="46">
        <f>Q102*R102/100</f>
        <v>12625.0215</v>
      </c>
      <c r="AO102" s="14">
        <f>EXP(L102*12+20*M102+400*N102)</f>
        <v>6.774733295411628</v>
      </c>
      <c r="AP102" s="14">
        <f>EXP(M102*25+N102*25^2)/EXP(M102*5+N102*25)</f>
        <v>1.8889101074258494</v>
      </c>
      <c r="AQ102" s="14">
        <f>EXP(L102*4)</f>
        <v>1.4512133505517895</v>
      </c>
      <c r="AR102" s="14">
        <f>EXP(L102*8)</f>
        <v>2.1060201888197514</v>
      </c>
      <c r="AS102" t="s">
        <v>183</v>
      </c>
    </row>
    <row r="103" spans="1:45" ht="12.75">
      <c r="A103" t="s">
        <v>126</v>
      </c>
      <c r="B103" s="40">
        <f>EXP(13.3)</f>
        <v>597195.6137928166</v>
      </c>
      <c r="C103" s="38">
        <f t="shared" si="28"/>
        <v>730993.6924241831</v>
      </c>
      <c r="D103" t="s">
        <v>117</v>
      </c>
      <c r="E103">
        <v>1</v>
      </c>
      <c r="F103">
        <v>1</v>
      </c>
      <c r="G103" s="11"/>
      <c r="H103">
        <f>H102</f>
        <v>43800</v>
      </c>
      <c r="I103">
        <v>1990</v>
      </c>
      <c r="J103">
        <v>2</v>
      </c>
      <c r="K103" s="51">
        <f>11.966-0.0688-0.2284</f>
        <v>11.6688</v>
      </c>
      <c r="L103" s="70">
        <v>0.1179</v>
      </c>
      <c r="M103" s="12">
        <v>0.0625</v>
      </c>
      <c r="N103" s="55">
        <v>-0.0009</v>
      </c>
      <c r="O103" s="10">
        <f t="shared" si="35"/>
        <v>7.04480805977132</v>
      </c>
      <c r="P103">
        <v>53.9</v>
      </c>
      <c r="Q103">
        <v>11765</v>
      </c>
      <c r="R103">
        <v>107.31</v>
      </c>
      <c r="S103" s="12">
        <v>101.9</v>
      </c>
      <c r="T103">
        <v>26364</v>
      </c>
      <c r="U103">
        <v>27300</v>
      </c>
      <c r="V103" s="20">
        <f>U103/T103</f>
        <v>1.0355029585798816</v>
      </c>
      <c r="W103" s="35">
        <v>2.8530148</v>
      </c>
      <c r="X103" s="13">
        <v>1990</v>
      </c>
      <c r="Y103">
        <v>25518</v>
      </c>
      <c r="Z103" s="21">
        <v>8.64</v>
      </c>
      <c r="AA103" s="32">
        <v>17.39</v>
      </c>
      <c r="AB103" s="41">
        <f t="shared" si="27"/>
        <v>7173.637805929164</v>
      </c>
      <c r="AC103" s="3">
        <v>1</v>
      </c>
      <c r="AD103" s="48">
        <v>138</v>
      </c>
      <c r="AE103" s="32">
        <v>4.34</v>
      </c>
      <c r="AF103">
        <v>-99</v>
      </c>
      <c r="AG103" s="11"/>
      <c r="AH103" s="3"/>
      <c r="AI103" s="3"/>
      <c r="AJ103" s="3"/>
      <c r="AK103" s="16"/>
      <c r="AL103" s="3" t="str">
        <f t="shared" si="30"/>
        <v>Spain</v>
      </c>
      <c r="AM103" s="46">
        <f t="shared" si="21"/>
        <v>7173.637805929164</v>
      </c>
      <c r="AN103" s="46">
        <f>Q103*R103/100</f>
        <v>12625.0215</v>
      </c>
      <c r="AO103" s="14">
        <f>EXP(L103*12+20*M103+400*N103)</f>
        <v>10.022173617244668</v>
      </c>
      <c r="AP103" s="14">
        <f>EXP(M103*25+N103*25^2)/EXP(M103*5+N103*25)</f>
        <v>2.0339912586467506</v>
      </c>
      <c r="AQ103" s="14">
        <f>EXP(L103*4)</f>
        <v>1.602556233011775</v>
      </c>
      <c r="AR103" s="14">
        <f>EXP(L103*8)</f>
        <v>2.568186479964891</v>
      </c>
      <c r="AS103" t="str">
        <f>AS102</f>
        <v>Lassibille (1998)</v>
      </c>
    </row>
    <row r="104" spans="1:45" ht="12.75">
      <c r="A104" t="s">
        <v>97</v>
      </c>
      <c r="B104" s="40">
        <v>4194</v>
      </c>
      <c r="C104" s="38">
        <f t="shared" si="28"/>
        <v>4217.699118694927</v>
      </c>
      <c r="D104" t="s">
        <v>98</v>
      </c>
      <c r="E104">
        <v>1</v>
      </c>
      <c r="F104">
        <v>12</v>
      </c>
      <c r="G104" s="11"/>
      <c r="H104">
        <v>42600</v>
      </c>
      <c r="I104">
        <v>1987</v>
      </c>
      <c r="J104">
        <v>1</v>
      </c>
      <c r="K104" s="51">
        <v>6.443</v>
      </c>
      <c r="L104" s="70">
        <v>0.0789</v>
      </c>
      <c r="M104" s="12">
        <v>0.0625</v>
      </c>
      <c r="N104" s="55">
        <v>-0.000782</v>
      </c>
      <c r="O104" s="10">
        <f t="shared" si="35"/>
        <v>8.5284596140054</v>
      </c>
      <c r="P104">
        <v>93.4</v>
      </c>
      <c r="Q104">
        <v>17221</v>
      </c>
      <c r="R104">
        <v>151.55</v>
      </c>
      <c r="S104">
        <v>1.491</v>
      </c>
      <c r="T104">
        <v>30980</v>
      </c>
      <c r="U104">
        <v>66386</v>
      </c>
      <c r="V104" s="20">
        <f>U104/T104</f>
        <v>2.14286636539703</v>
      </c>
      <c r="W104" s="12">
        <v>3.5411956</v>
      </c>
      <c r="X104" s="13">
        <v>1990</v>
      </c>
      <c r="Y104">
        <v>32480</v>
      </c>
      <c r="Z104" s="17">
        <v>11.02</v>
      </c>
      <c r="AA104" s="32">
        <v>23.41</v>
      </c>
      <c r="AB104" s="41">
        <f t="shared" si="27"/>
        <v>33945.264536780116</v>
      </c>
      <c r="AC104" s="3">
        <v>1</v>
      </c>
      <c r="AD104" s="48">
        <v>140</v>
      </c>
      <c r="AE104" s="48">
        <v>6.25</v>
      </c>
      <c r="AF104">
        <v>-99</v>
      </c>
      <c r="AG104" s="11"/>
      <c r="AH104" s="3"/>
      <c r="AI104" s="3"/>
      <c r="AJ104" s="3"/>
      <c r="AK104" s="16"/>
      <c r="AL104" s="3" t="str">
        <f t="shared" si="30"/>
        <v>Switzerland</v>
      </c>
      <c r="AM104" s="46">
        <f t="shared" si="21"/>
        <v>33945.264536780116</v>
      </c>
      <c r="AN104" s="46">
        <f t="shared" si="22"/>
        <v>26098.4255</v>
      </c>
      <c r="AO104" s="14">
        <f t="shared" si="23"/>
        <v>6.579771379652823</v>
      </c>
      <c r="AP104" s="14">
        <f t="shared" si="24"/>
        <v>2.183218141567914</v>
      </c>
      <c r="AQ104" s="14">
        <f t="shared" si="25"/>
        <v>1.3710817132395836</v>
      </c>
      <c r="AR104" s="14">
        <f t="shared" si="26"/>
        <v>1.8798650643799915</v>
      </c>
      <c r="AS104" t="s">
        <v>105</v>
      </c>
    </row>
    <row r="105" spans="1:45" ht="12.75">
      <c r="A105" t="s">
        <v>13</v>
      </c>
      <c r="B105" s="40" t="s">
        <v>278</v>
      </c>
      <c r="C105" s="38">
        <f>EXP(K105+L105*Z105+M105*AA105+N105*AA105^2)</f>
        <v>11653.478521936571</v>
      </c>
      <c r="D105" t="s">
        <v>54</v>
      </c>
      <c r="E105">
        <v>1</v>
      </c>
      <c r="F105">
        <v>1</v>
      </c>
      <c r="G105" s="11"/>
      <c r="H105">
        <v>51700</v>
      </c>
      <c r="I105">
        <v>1971</v>
      </c>
      <c r="J105">
        <v>1</v>
      </c>
      <c r="K105" s="51">
        <v>7.56</v>
      </c>
      <c r="L105" s="70">
        <v>0.104</v>
      </c>
      <c r="M105" s="12">
        <v>0.071</v>
      </c>
      <c r="N105" s="55">
        <v>-0.00082</v>
      </c>
      <c r="O105" s="10">
        <f t="shared" si="35"/>
        <v>4.525047013292728</v>
      </c>
      <c r="P105">
        <v>11.1</v>
      </c>
      <c r="Q105">
        <v>589</v>
      </c>
      <c r="R105">
        <v>34.22</v>
      </c>
      <c r="S105" s="12">
        <v>20.8</v>
      </c>
      <c r="T105">
        <v>3009</v>
      </c>
      <c r="U105">
        <v>1928</v>
      </c>
      <c r="V105" s="20">
        <f>U105/T105</f>
        <v>0.640744433366567</v>
      </c>
      <c r="W105" s="12">
        <v>1.478429</v>
      </c>
      <c r="X105" s="13">
        <v>1970</v>
      </c>
      <c r="Y105">
        <v>2848</v>
      </c>
      <c r="Z105" s="21">
        <f>0.54*6+0.3*12</f>
        <v>6.84</v>
      </c>
      <c r="AA105" s="75">
        <f>$AA$6</f>
        <v>20</v>
      </c>
      <c r="AB105" s="41">
        <f>EXP(O105+L105*Z105+M105*AA105+N105*AA105^2)</f>
        <v>560.2633904777194</v>
      </c>
      <c r="AC105" s="3">
        <v>1</v>
      </c>
      <c r="AD105" s="48">
        <v>113</v>
      </c>
      <c r="AE105" s="48">
        <v>11.65</v>
      </c>
      <c r="AF105">
        <v>-99</v>
      </c>
      <c r="AG105" s="11"/>
      <c r="AH105" s="3"/>
      <c r="AI105" s="3"/>
      <c r="AJ105" s="3"/>
      <c r="AK105" s="16"/>
      <c r="AL105" s="3" t="str">
        <f t="shared" si="30"/>
        <v>Thailand</v>
      </c>
      <c r="AM105" s="46">
        <f t="shared" si="21"/>
        <v>560.2633904777194</v>
      </c>
      <c r="AN105" s="46">
        <f t="shared" si="22"/>
        <v>201.55579999999998</v>
      </c>
      <c r="AO105" s="14">
        <f t="shared" si="23"/>
        <v>10.381236562731848</v>
      </c>
      <c r="AP105" s="14">
        <f t="shared" si="24"/>
        <v>2.5294452249033177</v>
      </c>
      <c r="AQ105" s="14">
        <f t="shared" si="25"/>
        <v>1.515885868870569</v>
      </c>
      <c r="AR105" s="14">
        <f t="shared" si="26"/>
        <v>2.2979099674414796</v>
      </c>
      <c r="AS105" t="s">
        <v>15</v>
      </c>
    </row>
    <row r="106" spans="1:45" ht="12.75">
      <c r="A106" t="s">
        <v>13</v>
      </c>
      <c r="B106" s="40" t="s">
        <v>278</v>
      </c>
      <c r="C106" s="38">
        <f t="shared" si="28"/>
        <v>6388.150060131127</v>
      </c>
      <c r="D106" t="s">
        <v>54</v>
      </c>
      <c r="E106">
        <v>1</v>
      </c>
      <c r="F106">
        <v>1</v>
      </c>
      <c r="G106" s="11"/>
      <c r="H106">
        <v>51700</v>
      </c>
      <c r="I106">
        <v>1971</v>
      </c>
      <c r="J106">
        <v>2</v>
      </c>
      <c r="K106" s="51">
        <v>7.14</v>
      </c>
      <c r="L106" s="70">
        <v>0.145</v>
      </c>
      <c r="M106" s="12">
        <v>0.043</v>
      </c>
      <c r="N106" s="55">
        <v>-0.0004</v>
      </c>
      <c r="O106" s="10">
        <f t="shared" si="35"/>
        <v>4.105047013292728</v>
      </c>
      <c r="P106">
        <v>11.1</v>
      </c>
      <c r="Q106">
        <v>589</v>
      </c>
      <c r="R106">
        <v>34.22</v>
      </c>
      <c r="S106" s="12">
        <v>20.8</v>
      </c>
      <c r="T106">
        <v>3009</v>
      </c>
      <c r="U106">
        <v>1928</v>
      </c>
      <c r="V106" s="20">
        <f>U106/T106</f>
        <v>0.640744433366567</v>
      </c>
      <c r="W106" s="12">
        <v>1.478429</v>
      </c>
      <c r="X106" s="13">
        <v>1970</v>
      </c>
      <c r="Y106">
        <v>2848</v>
      </c>
      <c r="Z106" s="21">
        <f>0.58*6+0.24*12</f>
        <v>6.359999999999999</v>
      </c>
      <c r="AA106" s="75">
        <f>$AA$6</f>
        <v>20</v>
      </c>
      <c r="AB106" s="41">
        <f t="shared" si="27"/>
        <v>307.1225990447661</v>
      </c>
      <c r="AC106" s="3">
        <v>1</v>
      </c>
      <c r="AD106" s="48">
        <v>113</v>
      </c>
      <c r="AE106" s="48">
        <f t="shared" si="31"/>
        <v>11.65</v>
      </c>
      <c r="AF106">
        <v>-99</v>
      </c>
      <c r="AG106" s="11"/>
      <c r="AH106" s="3"/>
      <c r="AI106" s="3"/>
      <c r="AJ106" s="3"/>
      <c r="AK106" s="16"/>
      <c r="AL106" s="3" t="str">
        <f t="shared" si="30"/>
        <v>Thailand</v>
      </c>
      <c r="AM106" s="46">
        <f t="shared" si="21"/>
        <v>307.1225990447661</v>
      </c>
      <c r="AN106" s="46">
        <f t="shared" si="22"/>
        <v>201.55579999999998</v>
      </c>
      <c r="AO106" s="14">
        <f t="shared" si="23"/>
        <v>11.473040742794828</v>
      </c>
      <c r="AP106" s="14">
        <f t="shared" si="24"/>
        <v>1.8589280418463419</v>
      </c>
      <c r="AQ106" s="14">
        <f t="shared" si="25"/>
        <v>1.7860384307500734</v>
      </c>
      <c r="AR106" s="14">
        <f t="shared" si="26"/>
        <v>3.1899332761161845</v>
      </c>
      <c r="AS106" t="s">
        <v>15</v>
      </c>
    </row>
    <row r="107" spans="1:46" ht="12.75">
      <c r="A107" t="s">
        <v>62</v>
      </c>
      <c r="B107" s="40">
        <v>5331</v>
      </c>
      <c r="C107" s="38">
        <f t="shared" si="28"/>
        <v>4681.614600114049</v>
      </c>
      <c r="D107" t="s">
        <v>134</v>
      </c>
      <c r="E107">
        <v>1</v>
      </c>
      <c r="F107">
        <v>12</v>
      </c>
      <c r="G107" s="11"/>
      <c r="H107">
        <v>30060</v>
      </c>
      <c r="I107">
        <v>1981</v>
      </c>
      <c r="J107">
        <v>1</v>
      </c>
      <c r="K107" s="51">
        <f>4.994+0.449*LN(50)</f>
        <v>6.750498329437237</v>
      </c>
      <c r="L107" s="70">
        <v>0.091</v>
      </c>
      <c r="M107" s="12">
        <v>0.061</v>
      </c>
      <c r="N107" s="55">
        <v>-0.0009</v>
      </c>
      <c r="O107" s="10">
        <f t="shared" si="35"/>
        <v>6.855858845095064</v>
      </c>
      <c r="P107">
        <v>33.2</v>
      </c>
      <c r="Q107">
        <v>4383</v>
      </c>
      <c r="R107">
        <v>85.76</v>
      </c>
      <c r="S107" s="12">
        <f>0.0108*1000</f>
        <v>10.8</v>
      </c>
      <c r="T107">
        <v>13243</v>
      </c>
      <c r="U107">
        <v>-999.99</v>
      </c>
      <c r="V107" s="23">
        <f aca="true" t="shared" si="36" ref="V107:V112">$V$121+$V$122*T107</f>
        <v>0.9229225999999999</v>
      </c>
      <c r="W107" s="12">
        <v>2.4856757</v>
      </c>
      <c r="X107" s="13">
        <v>1980</v>
      </c>
      <c r="Y107">
        <v>12330</v>
      </c>
      <c r="Z107" s="16">
        <v>8.3</v>
      </c>
      <c r="AA107" s="32">
        <v>24</v>
      </c>
      <c r="AB107" s="41">
        <f t="shared" si="27"/>
        <v>5201.794000126723</v>
      </c>
      <c r="AC107" s="3">
        <v>1</v>
      </c>
      <c r="AD107" s="48">
        <v>83</v>
      </c>
      <c r="AE107" s="48">
        <v>-99</v>
      </c>
      <c r="AF107">
        <v>-99</v>
      </c>
      <c r="AG107" s="11"/>
      <c r="AH107" s="3"/>
      <c r="AI107" s="3"/>
      <c r="AJ107" s="3">
        <v>50</v>
      </c>
      <c r="AK107" s="16"/>
      <c r="AL107" s="3" t="str">
        <f t="shared" si="30"/>
        <v>Uruguay</v>
      </c>
      <c r="AM107" s="46">
        <f t="shared" si="21"/>
        <v>5201.794000126723</v>
      </c>
      <c r="AN107" s="46">
        <f t="shared" si="22"/>
        <v>3758.8608000000004</v>
      </c>
      <c r="AO107" s="14">
        <f t="shared" si="23"/>
        <v>7.042759022501907</v>
      </c>
      <c r="AP107" s="14">
        <f t="shared" si="24"/>
        <v>1.9738777322304473</v>
      </c>
      <c r="AQ107" s="14">
        <f t="shared" si="25"/>
        <v>1.4390742141580464</v>
      </c>
      <c r="AR107" s="14">
        <f t="shared" si="26"/>
        <v>2.070934593854598</v>
      </c>
      <c r="AS107" t="s">
        <v>186</v>
      </c>
      <c r="AT107" t="s">
        <v>153</v>
      </c>
    </row>
    <row r="108" spans="1:45" ht="12.75">
      <c r="A108" t="s">
        <v>62</v>
      </c>
      <c r="B108" s="40">
        <v>2748</v>
      </c>
      <c r="C108" s="38">
        <f t="shared" si="28"/>
        <v>2256.029519018723</v>
      </c>
      <c r="D108" t="s">
        <v>134</v>
      </c>
      <c r="E108">
        <v>1</v>
      </c>
      <c r="F108">
        <v>12</v>
      </c>
      <c r="G108" s="11"/>
      <c r="H108">
        <v>30060</v>
      </c>
      <c r="I108">
        <v>1981</v>
      </c>
      <c r="J108">
        <v>2</v>
      </c>
      <c r="K108" s="51">
        <f>4.015+0.571*LN(38)</f>
        <v>6.092061697203766</v>
      </c>
      <c r="L108" s="70">
        <v>0.119</v>
      </c>
      <c r="M108" s="12">
        <v>0.038</v>
      </c>
      <c r="N108" s="55">
        <v>-0.0005</v>
      </c>
      <c r="O108" s="10">
        <f t="shared" si="35"/>
        <v>6.197422212861593</v>
      </c>
      <c r="P108">
        <v>33.2</v>
      </c>
      <c r="Q108">
        <v>4383</v>
      </c>
      <c r="R108">
        <v>85.76</v>
      </c>
      <c r="S108" s="12">
        <f>0.0108*1000</f>
        <v>10.8</v>
      </c>
      <c r="T108">
        <v>13243</v>
      </c>
      <c r="U108">
        <v>-999.99</v>
      </c>
      <c r="V108" s="23">
        <f t="shared" si="36"/>
        <v>0.9229225999999999</v>
      </c>
      <c r="W108" s="12">
        <v>2.4856757</v>
      </c>
      <c r="X108" s="13">
        <v>1980</v>
      </c>
      <c r="Y108">
        <v>12330</v>
      </c>
      <c r="Z108" s="16">
        <v>8.7</v>
      </c>
      <c r="AA108" s="32">
        <v>22</v>
      </c>
      <c r="AB108" s="41">
        <f t="shared" si="27"/>
        <v>2506.69946557636</v>
      </c>
      <c r="AC108" s="3">
        <v>1</v>
      </c>
      <c r="AD108" s="48">
        <v>83</v>
      </c>
      <c r="AE108" s="48">
        <f t="shared" si="31"/>
        <v>-99</v>
      </c>
      <c r="AF108">
        <v>-99</v>
      </c>
      <c r="AG108" s="11"/>
      <c r="AH108" s="3"/>
      <c r="AI108" s="3"/>
      <c r="AJ108" s="3">
        <v>38</v>
      </c>
      <c r="AK108" s="16"/>
      <c r="AL108" s="3" t="str">
        <f t="shared" si="30"/>
        <v>Uruguay</v>
      </c>
      <c r="AM108" s="46">
        <f t="shared" si="21"/>
        <v>2506.69946557636</v>
      </c>
      <c r="AN108" s="46">
        <f t="shared" si="22"/>
        <v>3758.8608000000004</v>
      </c>
      <c r="AO108" s="14">
        <f t="shared" si="23"/>
        <v>7.3009173161033</v>
      </c>
      <c r="AP108" s="14">
        <f t="shared" si="24"/>
        <v>1.5840739849944816</v>
      </c>
      <c r="AQ108" s="14">
        <f t="shared" si="25"/>
        <v>1.6096230159584366</v>
      </c>
      <c r="AR108" s="14">
        <f t="shared" si="26"/>
        <v>2.590886253503134</v>
      </c>
      <c r="AS108" t="s">
        <v>186</v>
      </c>
    </row>
    <row r="109" spans="1:45" ht="12.75">
      <c r="A109" t="s">
        <v>62</v>
      </c>
      <c r="B109" s="40">
        <v>178086</v>
      </c>
      <c r="C109" s="38">
        <f t="shared" si="28"/>
        <v>155177.49932951838</v>
      </c>
      <c r="D109" t="s">
        <v>134</v>
      </c>
      <c r="E109">
        <v>1</v>
      </c>
      <c r="F109">
        <v>12</v>
      </c>
      <c r="G109" s="11"/>
      <c r="H109">
        <v>30060</v>
      </c>
      <c r="I109">
        <v>1989</v>
      </c>
      <c r="J109">
        <v>1</v>
      </c>
      <c r="K109" s="51">
        <f>8.029+0.596*LN(49)</f>
        <v>10.348524897673933</v>
      </c>
      <c r="L109" s="70">
        <v>0.09</v>
      </c>
      <c r="M109" s="12">
        <v>0.051</v>
      </c>
      <c r="N109" s="55">
        <v>-0.0007</v>
      </c>
      <c r="O109" s="10">
        <f aca="true" t="shared" si="37" ref="O109:O116">K109-LN(S109)+LN(F109)</f>
        <v>7.743369119734355</v>
      </c>
      <c r="P109">
        <v>37.4</v>
      </c>
      <c r="Q109">
        <v>7837</v>
      </c>
      <c r="R109">
        <v>68.71</v>
      </c>
      <c r="S109" s="12">
        <v>162.4</v>
      </c>
      <c r="T109">
        <v>12022</v>
      </c>
      <c r="U109">
        <v>-999.99</v>
      </c>
      <c r="V109" s="23">
        <f t="shared" si="36"/>
        <v>0.9007004</v>
      </c>
      <c r="W109" s="12">
        <v>2.4856757</v>
      </c>
      <c r="X109" s="13">
        <v>1990</v>
      </c>
      <c r="Y109">
        <v>12022</v>
      </c>
      <c r="Z109" s="16">
        <v>8.7</v>
      </c>
      <c r="AA109" s="32">
        <v>24</v>
      </c>
      <c r="AB109" s="41">
        <f t="shared" si="27"/>
        <v>11466.317684447169</v>
      </c>
      <c r="AC109" s="3">
        <v>1</v>
      </c>
      <c r="AD109" s="48">
        <v>83</v>
      </c>
      <c r="AE109" s="48">
        <f t="shared" si="31"/>
        <v>-99</v>
      </c>
      <c r="AF109">
        <v>-99</v>
      </c>
      <c r="AG109" s="11"/>
      <c r="AH109" s="3"/>
      <c r="AI109" s="3"/>
      <c r="AJ109" s="3">
        <v>49</v>
      </c>
      <c r="AK109" s="16"/>
      <c r="AL109" s="3" t="str">
        <f t="shared" si="30"/>
        <v>Uruguay</v>
      </c>
      <c r="AM109" s="46">
        <f t="shared" si="21"/>
        <v>11466.317684447169</v>
      </c>
      <c r="AN109" s="46">
        <f t="shared" si="22"/>
        <v>5384.802699999999</v>
      </c>
      <c r="AO109" s="14">
        <f t="shared" si="23"/>
        <v>6.171858449883554</v>
      </c>
      <c r="AP109" s="14">
        <f t="shared" si="24"/>
        <v>1.8221188003905087</v>
      </c>
      <c r="AQ109" s="14">
        <f t="shared" si="25"/>
        <v>1.4333294145603401</v>
      </c>
      <c r="AR109" s="14">
        <f t="shared" si="26"/>
        <v>2.0544332106438876</v>
      </c>
      <c r="AS109" t="s">
        <v>186</v>
      </c>
    </row>
    <row r="110" spans="1:45" ht="12.75">
      <c r="A110" t="s">
        <v>62</v>
      </c>
      <c r="B110" s="40">
        <v>97865</v>
      </c>
      <c r="C110" s="38">
        <f t="shared" si="28"/>
        <v>84114.13303106607</v>
      </c>
      <c r="D110" t="s">
        <v>134</v>
      </c>
      <c r="E110">
        <v>1</v>
      </c>
      <c r="F110">
        <v>12</v>
      </c>
      <c r="G110" s="11"/>
      <c r="H110">
        <v>30060</v>
      </c>
      <c r="I110">
        <v>1989</v>
      </c>
      <c r="J110">
        <v>2</v>
      </c>
      <c r="K110" s="51">
        <f>7.164+0.708*LN(37)</f>
        <v>9.72052988215211</v>
      </c>
      <c r="L110" s="70">
        <v>0.106</v>
      </c>
      <c r="M110" s="12">
        <v>0.042</v>
      </c>
      <c r="N110" s="55">
        <v>-0.0006</v>
      </c>
      <c r="O110" s="10">
        <f t="shared" si="37"/>
        <v>7.115374104212533</v>
      </c>
      <c r="P110">
        <v>37.4</v>
      </c>
      <c r="Q110">
        <v>7837</v>
      </c>
      <c r="R110">
        <v>68.71</v>
      </c>
      <c r="S110" s="12">
        <v>162.4</v>
      </c>
      <c r="T110">
        <v>12022</v>
      </c>
      <c r="U110">
        <v>-999.99</v>
      </c>
      <c r="V110" s="23">
        <f t="shared" si="36"/>
        <v>0.9007004</v>
      </c>
      <c r="W110" s="12">
        <v>2.4856757</v>
      </c>
      <c r="X110" s="13">
        <v>1990</v>
      </c>
      <c r="Y110">
        <v>12022</v>
      </c>
      <c r="Z110" s="16">
        <v>9.3</v>
      </c>
      <c r="AA110" s="32">
        <v>22</v>
      </c>
      <c r="AB110" s="41">
        <f t="shared" si="27"/>
        <v>6215.330026926063</v>
      </c>
      <c r="AC110" s="3">
        <v>1</v>
      </c>
      <c r="AD110" s="48">
        <v>83</v>
      </c>
      <c r="AE110" s="48">
        <f t="shared" si="31"/>
        <v>-99</v>
      </c>
      <c r="AF110">
        <v>-99</v>
      </c>
      <c r="AG110" s="11"/>
      <c r="AH110" s="3"/>
      <c r="AI110" s="3"/>
      <c r="AJ110" s="3">
        <v>37</v>
      </c>
      <c r="AK110" s="16"/>
      <c r="AL110" s="3" t="str">
        <f t="shared" si="30"/>
        <v>Uruguay</v>
      </c>
      <c r="AM110" s="46">
        <f t="shared" si="21"/>
        <v>6215.330026926063</v>
      </c>
      <c r="AN110" s="46">
        <f t="shared" si="22"/>
        <v>5384.802699999999</v>
      </c>
      <c r="AO110" s="14">
        <f t="shared" si="23"/>
        <v>6.501285977333473</v>
      </c>
      <c r="AP110" s="14">
        <f t="shared" si="24"/>
        <v>1.6160744021928937</v>
      </c>
      <c r="AQ110" s="14">
        <f t="shared" si="25"/>
        <v>1.5280615937840571</v>
      </c>
      <c r="AR110" s="14">
        <f t="shared" si="26"/>
        <v>2.3349722343978727</v>
      </c>
      <c r="AS110" t="s">
        <v>186</v>
      </c>
    </row>
    <row r="111" spans="1:46" ht="12.75">
      <c r="A111" t="s">
        <v>62</v>
      </c>
      <c r="B111" s="40">
        <v>177</v>
      </c>
      <c r="C111" s="38">
        <f t="shared" si="28"/>
        <v>155.49556970248582</v>
      </c>
      <c r="D111" s="3" t="s">
        <v>63</v>
      </c>
      <c r="F111">
        <f>12*1000</f>
        <v>12000</v>
      </c>
      <c r="G111" s="11"/>
      <c r="H111">
        <v>30060</v>
      </c>
      <c r="I111">
        <v>1989</v>
      </c>
      <c r="J111">
        <v>1</v>
      </c>
      <c r="K111" s="51">
        <f>1.348+0.551*LN(45.48)</f>
        <v>3.451317240554167</v>
      </c>
      <c r="L111" s="70">
        <v>0.091</v>
      </c>
      <c r="M111" s="12">
        <v>0.056</v>
      </c>
      <c r="N111" s="55">
        <v>-0.0007</v>
      </c>
      <c r="O111" s="10">
        <f t="shared" si="37"/>
        <v>7.7539167415967265</v>
      </c>
      <c r="P111">
        <v>37.4</v>
      </c>
      <c r="Q111">
        <v>7837</v>
      </c>
      <c r="R111">
        <v>68.71</v>
      </c>
      <c r="S111" s="12">
        <v>162.4</v>
      </c>
      <c r="T111">
        <v>12022</v>
      </c>
      <c r="U111">
        <v>-999.99</v>
      </c>
      <c r="V111" s="23">
        <f t="shared" si="36"/>
        <v>0.9007004</v>
      </c>
      <c r="W111" s="12">
        <v>2.4856757</v>
      </c>
      <c r="X111" s="13">
        <v>1990</v>
      </c>
      <c r="Y111">
        <v>12022</v>
      </c>
      <c r="Z111" s="16">
        <v>8.3</v>
      </c>
      <c r="AA111" s="32">
        <f>$AA$6</f>
        <v>20</v>
      </c>
      <c r="AB111" s="41">
        <f t="shared" si="27"/>
        <v>11489.820421365972</v>
      </c>
      <c r="AC111" s="26">
        <v>0</v>
      </c>
      <c r="AD111" s="48">
        <v>83</v>
      </c>
      <c r="AE111" s="48">
        <f t="shared" si="31"/>
        <v>-99</v>
      </c>
      <c r="AF111">
        <v>-99</v>
      </c>
      <c r="AG111" s="11"/>
      <c r="AH111" s="3"/>
      <c r="AI111" s="3"/>
      <c r="AJ111" s="3"/>
      <c r="AK111" s="16"/>
      <c r="AL111" s="3" t="str">
        <f t="shared" si="30"/>
        <v>Uruguay</v>
      </c>
      <c r="AM111" s="46">
        <f t="shared" si="21"/>
        <v>11489.820421365972</v>
      </c>
      <c r="AN111" s="46">
        <f t="shared" si="22"/>
        <v>5384.802699999999</v>
      </c>
      <c r="AO111" s="14">
        <f t="shared" si="23"/>
        <v>6.903303050275548</v>
      </c>
      <c r="AP111" s="14">
        <f t="shared" si="24"/>
        <v>2.013752707470477</v>
      </c>
      <c r="AQ111" s="14">
        <f t="shared" si="25"/>
        <v>1.4390742141580464</v>
      </c>
      <c r="AR111" s="14">
        <f t="shared" si="26"/>
        <v>2.070934593854598</v>
      </c>
      <c r="AS111" t="s">
        <v>186</v>
      </c>
      <c r="AT111" t="s">
        <v>72</v>
      </c>
    </row>
    <row r="112" spans="1:46" ht="12.75">
      <c r="A112" t="s">
        <v>62</v>
      </c>
      <c r="B112" s="40">
        <v>112</v>
      </c>
      <c r="C112" s="38">
        <f t="shared" si="28"/>
        <v>110.80256881007307</v>
      </c>
      <c r="D112" t="s">
        <v>63</v>
      </c>
      <c r="F112">
        <f>12*1000</f>
        <v>12000</v>
      </c>
      <c r="G112" s="11"/>
      <c r="H112">
        <v>30060</v>
      </c>
      <c r="I112">
        <v>1989</v>
      </c>
      <c r="J112">
        <v>2</v>
      </c>
      <c r="K112" s="51">
        <f>0.46+0.715*LN(45.48)</f>
        <v>3.1893499582508698</v>
      </c>
      <c r="L112" s="70">
        <v>0.102</v>
      </c>
      <c r="M112" s="12">
        <v>0.041</v>
      </c>
      <c r="N112" s="55">
        <v>-0.0006</v>
      </c>
      <c r="O112" s="10">
        <f t="shared" si="37"/>
        <v>7.491949459293429</v>
      </c>
      <c r="P112">
        <v>37.4</v>
      </c>
      <c r="Q112">
        <v>7837</v>
      </c>
      <c r="R112">
        <v>68.71</v>
      </c>
      <c r="S112" s="12">
        <v>162.4</v>
      </c>
      <c r="T112">
        <v>12022</v>
      </c>
      <c r="U112">
        <v>-999.99</v>
      </c>
      <c r="V112" s="23">
        <f t="shared" si="36"/>
        <v>0.9007004</v>
      </c>
      <c r="W112" s="12">
        <v>2.4856757</v>
      </c>
      <c r="X112" s="13">
        <v>1990</v>
      </c>
      <c r="Y112">
        <v>12022</v>
      </c>
      <c r="Z112" s="16">
        <v>9.2</v>
      </c>
      <c r="AA112" s="32">
        <f>$AA$6</f>
        <v>20</v>
      </c>
      <c r="AB112" s="41">
        <f t="shared" si="27"/>
        <v>8187.381931778801</v>
      </c>
      <c r="AC112" s="26">
        <v>0</v>
      </c>
      <c r="AD112" s="48">
        <v>83</v>
      </c>
      <c r="AE112" s="48">
        <f t="shared" si="31"/>
        <v>-99</v>
      </c>
      <c r="AF112">
        <v>-99</v>
      </c>
      <c r="AG112" s="11"/>
      <c r="AH112" s="3"/>
      <c r="AI112" s="3"/>
      <c r="AJ112" s="3"/>
      <c r="AK112" s="16"/>
      <c r="AL112" s="3" t="str">
        <f t="shared" si="30"/>
        <v>Uruguay</v>
      </c>
      <c r="AM112" s="46">
        <f t="shared" si="21"/>
        <v>8187.381931778801</v>
      </c>
      <c r="AN112" s="46">
        <f t="shared" si="22"/>
        <v>5384.802699999999</v>
      </c>
      <c r="AO112" s="14">
        <f t="shared" si="23"/>
        <v>6.073894516044468</v>
      </c>
      <c r="AP112" s="14">
        <f t="shared" si="24"/>
        <v>1.5840739849944818</v>
      </c>
      <c r="AQ112" s="14">
        <f t="shared" si="25"/>
        <v>1.5038071611701118</v>
      </c>
      <c r="AR112" s="14">
        <f t="shared" si="26"/>
        <v>2.2614359779865105</v>
      </c>
      <c r="AS112" t="s">
        <v>186</v>
      </c>
      <c r="AT112" s="29" t="s">
        <v>149</v>
      </c>
    </row>
    <row r="113" spans="1:45" ht="12.75">
      <c r="A113" t="s">
        <v>147</v>
      </c>
      <c r="B113" s="40">
        <v>2895</v>
      </c>
      <c r="C113" s="38">
        <f t="shared" si="28"/>
        <v>2754.812317442284</v>
      </c>
      <c r="D113" t="s">
        <v>134</v>
      </c>
      <c r="E113">
        <v>1</v>
      </c>
      <c r="F113">
        <v>12</v>
      </c>
      <c r="G113" s="11"/>
      <c r="H113">
        <v>30065</v>
      </c>
      <c r="I113">
        <v>1981</v>
      </c>
      <c r="J113">
        <v>1</v>
      </c>
      <c r="K113" s="51">
        <f>4.305+0.496*LN(45)</f>
        <v>6.193104594926078</v>
      </c>
      <c r="L113" s="70">
        <v>0.112</v>
      </c>
      <c r="M113" s="12">
        <v>0.06</v>
      </c>
      <c r="N113" s="58">
        <v>-0.0008</v>
      </c>
      <c r="O113" s="10">
        <f t="shared" si="37"/>
        <v>7.221025455471654</v>
      </c>
      <c r="P113">
        <v>46.5</v>
      </c>
      <c r="Q113">
        <v>6134</v>
      </c>
      <c r="R113">
        <v>83.13</v>
      </c>
      <c r="S113">
        <v>4.293</v>
      </c>
      <c r="T113">
        <v>21750</v>
      </c>
      <c r="U113">
        <v>21635</v>
      </c>
      <c r="V113" s="20">
        <f>U113/T113</f>
        <v>0.9947126436781609</v>
      </c>
      <c r="W113" s="12">
        <v>2.5342594</v>
      </c>
      <c r="X113">
        <v>1980</v>
      </c>
      <c r="Y113">
        <v>24853</v>
      </c>
      <c r="Z113">
        <v>7.1</v>
      </c>
      <c r="AA113" s="32">
        <v>22</v>
      </c>
      <c r="AB113" s="41">
        <f t="shared" si="27"/>
        <v>7700.383836316652</v>
      </c>
      <c r="AC113">
        <v>1</v>
      </c>
      <c r="AD113" s="48">
        <v>84</v>
      </c>
      <c r="AE113" s="48">
        <v>10.93</v>
      </c>
      <c r="AF113">
        <v>-99</v>
      </c>
      <c r="AG113" s="11"/>
      <c r="AH113" s="3"/>
      <c r="AI113" s="3"/>
      <c r="AJ113" s="3">
        <v>45</v>
      </c>
      <c r="AK113" s="16"/>
      <c r="AL113" s="3" t="str">
        <f t="shared" si="30"/>
        <v>Venezuela</v>
      </c>
      <c r="AM113" s="46">
        <f t="shared" si="21"/>
        <v>7700.383836316652</v>
      </c>
      <c r="AN113" s="46">
        <f t="shared" si="22"/>
        <v>5099.1942</v>
      </c>
      <c r="AO113" s="14">
        <f t="shared" si="23"/>
        <v>9.244233946302527</v>
      </c>
      <c r="AP113" s="14">
        <f t="shared" si="24"/>
        <v>2.0544332106438876</v>
      </c>
      <c r="AQ113" s="14">
        <f t="shared" si="25"/>
        <v>1.5651786956535216</v>
      </c>
      <c r="AR113" s="14">
        <f t="shared" si="26"/>
        <v>2.4497843493276594</v>
      </c>
      <c r="AS113" t="s">
        <v>186</v>
      </c>
    </row>
    <row r="114" spans="1:45" ht="12.75">
      <c r="A114" t="s">
        <v>147</v>
      </c>
      <c r="B114" s="40">
        <v>1898</v>
      </c>
      <c r="C114" s="38">
        <f t="shared" si="28"/>
        <v>1690.2841864983382</v>
      </c>
      <c r="D114" t="s">
        <v>134</v>
      </c>
      <c r="E114">
        <v>1</v>
      </c>
      <c r="F114">
        <v>12</v>
      </c>
      <c r="G114" s="11"/>
      <c r="H114">
        <v>30065</v>
      </c>
      <c r="I114">
        <v>1981</v>
      </c>
      <c r="J114">
        <v>2</v>
      </c>
      <c r="K114" s="51">
        <f>4.314+0.382*LN(40)</f>
        <v>5.7231519514715234</v>
      </c>
      <c r="L114" s="70">
        <v>0.14</v>
      </c>
      <c r="M114" s="12">
        <v>0.042</v>
      </c>
      <c r="N114" s="58">
        <v>-0.0005</v>
      </c>
      <c r="O114" s="10">
        <f t="shared" si="37"/>
        <v>6.7510728120170995</v>
      </c>
      <c r="P114">
        <v>46.5</v>
      </c>
      <c r="Q114">
        <v>6134</v>
      </c>
      <c r="R114">
        <v>83.13</v>
      </c>
      <c r="S114">
        <v>4.293</v>
      </c>
      <c r="T114">
        <v>21750</v>
      </c>
      <c r="U114">
        <v>21635</v>
      </c>
      <c r="V114" s="20">
        <f>U114/T114</f>
        <v>0.9947126436781609</v>
      </c>
      <c r="W114" s="12">
        <v>2.5342594</v>
      </c>
      <c r="X114">
        <v>1980</v>
      </c>
      <c r="Y114">
        <v>24853</v>
      </c>
      <c r="Z114">
        <v>7.8</v>
      </c>
      <c r="AA114" s="32">
        <v>19</v>
      </c>
      <c r="AB114" s="41">
        <f t="shared" si="27"/>
        <v>4724.763624034485</v>
      </c>
      <c r="AC114">
        <v>1</v>
      </c>
      <c r="AD114" s="48">
        <v>84</v>
      </c>
      <c r="AE114" s="48">
        <f t="shared" si="31"/>
        <v>10.93</v>
      </c>
      <c r="AF114">
        <v>-99</v>
      </c>
      <c r="AG114" s="11"/>
      <c r="AH114" s="3"/>
      <c r="AI114" s="3"/>
      <c r="AJ114" s="3">
        <v>40</v>
      </c>
      <c r="AK114" s="16"/>
      <c r="AL114" s="3" t="str">
        <f t="shared" si="30"/>
        <v>Venezuela</v>
      </c>
      <c r="AM114" s="46">
        <f t="shared" si="21"/>
        <v>4724.763624034485</v>
      </c>
      <c r="AN114" s="46">
        <f t="shared" si="22"/>
        <v>5099.1942</v>
      </c>
      <c r="AO114" s="14">
        <f t="shared" si="23"/>
        <v>10.175674306073338</v>
      </c>
      <c r="AP114" s="14">
        <f t="shared" si="24"/>
        <v>1.7160068621848585</v>
      </c>
      <c r="AQ114" s="14">
        <f t="shared" si="25"/>
        <v>1.7506725002961012</v>
      </c>
      <c r="AR114" s="14">
        <f t="shared" si="26"/>
        <v>3.0648542032930024</v>
      </c>
      <c r="AS114" t="s">
        <v>186</v>
      </c>
    </row>
    <row r="115" spans="1:45" ht="12.75">
      <c r="A115" t="s">
        <v>147</v>
      </c>
      <c r="B115" s="40">
        <v>7858</v>
      </c>
      <c r="C115" s="38">
        <f t="shared" si="28"/>
        <v>6805.944230370924</v>
      </c>
      <c r="D115" t="s">
        <v>134</v>
      </c>
      <c r="E115">
        <v>1</v>
      </c>
      <c r="F115">
        <v>12</v>
      </c>
      <c r="G115" s="11"/>
      <c r="H115">
        <v>30065</v>
      </c>
      <c r="I115">
        <v>1989</v>
      </c>
      <c r="J115">
        <v>1</v>
      </c>
      <c r="K115" s="51">
        <f>6.311+0.33*LN(46)</f>
        <v>7.574451660841401</v>
      </c>
      <c r="L115" s="70">
        <v>0.084</v>
      </c>
      <c r="M115" s="12">
        <v>0.031</v>
      </c>
      <c r="N115" s="58">
        <v>-0.0003</v>
      </c>
      <c r="O115" s="10">
        <f t="shared" si="37"/>
        <v>6.5131951587170605</v>
      </c>
      <c r="P115">
        <v>30.5</v>
      </c>
      <c r="Q115">
        <v>6396</v>
      </c>
      <c r="R115">
        <v>36.08</v>
      </c>
      <c r="S115">
        <v>34.68</v>
      </c>
      <c r="T115">
        <v>17083</v>
      </c>
      <c r="U115">
        <v>18874</v>
      </c>
      <c r="V115" s="20">
        <f>U115/T115</f>
        <v>1.1048410700696598</v>
      </c>
      <c r="W115" s="12">
        <v>2.5342594</v>
      </c>
      <c r="X115">
        <v>1990</v>
      </c>
      <c r="Y115">
        <v>17083</v>
      </c>
      <c r="Z115">
        <v>7.9</v>
      </c>
      <c r="AA115" s="32">
        <v>25</v>
      </c>
      <c r="AB115" s="41">
        <f t="shared" si="27"/>
        <v>2354.9980035885537</v>
      </c>
      <c r="AC115">
        <v>1</v>
      </c>
      <c r="AD115" s="48">
        <v>84</v>
      </c>
      <c r="AE115" s="48">
        <f t="shared" si="31"/>
        <v>10.93</v>
      </c>
      <c r="AF115">
        <v>-99</v>
      </c>
      <c r="AG115" s="11"/>
      <c r="AH115" s="3"/>
      <c r="AI115" s="3"/>
      <c r="AJ115" s="3">
        <v>46</v>
      </c>
      <c r="AK115" s="16"/>
      <c r="AL115" s="3" t="str">
        <f t="shared" si="30"/>
        <v>Venezuela</v>
      </c>
      <c r="AM115" s="46">
        <f t="shared" si="21"/>
        <v>2354.9980035885537</v>
      </c>
      <c r="AN115" s="46">
        <f t="shared" si="22"/>
        <v>2307.6767999999997</v>
      </c>
      <c r="AO115" s="14">
        <f t="shared" si="23"/>
        <v>4.517686380154588</v>
      </c>
      <c r="AP115" s="14">
        <f t="shared" si="24"/>
        <v>1.5527072185113362</v>
      </c>
      <c r="AQ115" s="14">
        <f t="shared" si="25"/>
        <v>1.3993390248109305</v>
      </c>
      <c r="AR115" s="14">
        <f t="shared" si="26"/>
        <v>1.9581497063588058</v>
      </c>
      <c r="AS115" t="s">
        <v>186</v>
      </c>
    </row>
    <row r="116" spans="1:45" ht="12.75">
      <c r="A116" t="s">
        <v>147</v>
      </c>
      <c r="B116" s="40">
        <v>6067</v>
      </c>
      <c r="C116" s="38">
        <f t="shared" si="28"/>
        <v>5548.808778836818</v>
      </c>
      <c r="D116" t="s">
        <v>134</v>
      </c>
      <c r="E116">
        <v>1</v>
      </c>
      <c r="F116">
        <v>12</v>
      </c>
      <c r="G116" s="11"/>
      <c r="H116">
        <v>30065</v>
      </c>
      <c r="I116">
        <v>1989</v>
      </c>
      <c r="J116">
        <v>2</v>
      </c>
      <c r="K116" s="51">
        <f>5.153+0.671*LN(35)</f>
        <v>7.538638549259396</v>
      </c>
      <c r="L116" s="70">
        <v>0.08</v>
      </c>
      <c r="M116" s="12">
        <v>0.019</v>
      </c>
      <c r="N116" s="58">
        <v>-0.0003</v>
      </c>
      <c r="O116" s="10">
        <f t="shared" si="37"/>
        <v>6.477382047135055</v>
      </c>
      <c r="P116">
        <v>30.5</v>
      </c>
      <c r="Q116">
        <v>6396</v>
      </c>
      <c r="R116">
        <v>36.08</v>
      </c>
      <c r="S116">
        <v>34.68</v>
      </c>
      <c r="T116">
        <v>17083</v>
      </c>
      <c r="U116">
        <v>18874</v>
      </c>
      <c r="V116" s="20">
        <f>U116/T116</f>
        <v>1.1048410700696598</v>
      </c>
      <c r="W116" s="12">
        <v>2.5342594</v>
      </c>
      <c r="X116">
        <v>1990</v>
      </c>
      <c r="Y116">
        <v>17083</v>
      </c>
      <c r="Z116">
        <v>10.2</v>
      </c>
      <c r="AA116" s="32">
        <v>21</v>
      </c>
      <c r="AB116" s="41">
        <f t="shared" si="27"/>
        <v>1920.003037659801</v>
      </c>
      <c r="AC116">
        <v>1</v>
      </c>
      <c r="AD116">
        <v>84</v>
      </c>
      <c r="AE116" s="48">
        <f t="shared" si="31"/>
        <v>10.93</v>
      </c>
      <c r="AF116">
        <v>-99</v>
      </c>
      <c r="AG116" s="11"/>
      <c r="AH116" s="3"/>
      <c r="AI116" s="3"/>
      <c r="AJ116" s="3">
        <v>35</v>
      </c>
      <c r="AK116" s="16"/>
      <c r="AL116" s="3" t="str">
        <f t="shared" si="30"/>
        <v>Venezuela</v>
      </c>
      <c r="AM116" s="46">
        <f t="shared" si="21"/>
        <v>1920.003037659801</v>
      </c>
      <c r="AN116" s="46">
        <f t="shared" si="22"/>
        <v>2307.6767999999997</v>
      </c>
      <c r="AO116" s="14">
        <f t="shared" si="23"/>
        <v>3.387187733621334</v>
      </c>
      <c r="AP116" s="14">
        <f t="shared" si="24"/>
        <v>1.2214027581601696</v>
      </c>
      <c r="AQ116" s="14">
        <f t="shared" si="25"/>
        <v>1.3771277643359572</v>
      </c>
      <c r="AR116" s="14">
        <f t="shared" si="26"/>
        <v>1.8964808793049515</v>
      </c>
      <c r="AS116" t="s">
        <v>186</v>
      </c>
    </row>
    <row r="117" spans="7:46" ht="12.75">
      <c r="G117" s="11"/>
      <c r="H117" s="11">
        <v>1</v>
      </c>
      <c r="I117" s="11">
        <v>2</v>
      </c>
      <c r="J117" s="11">
        <v>3</v>
      </c>
      <c r="K117" s="11">
        <v>4</v>
      </c>
      <c r="L117" s="11">
        <v>5</v>
      </c>
      <c r="M117" s="11">
        <v>6</v>
      </c>
      <c r="N117" s="11">
        <v>7</v>
      </c>
      <c r="O117" s="11">
        <v>8</v>
      </c>
      <c r="P117" s="11">
        <v>9</v>
      </c>
      <c r="Q117" s="11">
        <v>10</v>
      </c>
      <c r="R117" s="11">
        <v>11</v>
      </c>
      <c r="S117" s="11">
        <v>12</v>
      </c>
      <c r="T117" s="11">
        <v>13</v>
      </c>
      <c r="U117" s="11">
        <v>14</v>
      </c>
      <c r="V117" s="11">
        <v>15</v>
      </c>
      <c r="W117" s="11">
        <v>16</v>
      </c>
      <c r="X117" s="11">
        <v>17</v>
      </c>
      <c r="Y117" s="11">
        <v>18</v>
      </c>
      <c r="Z117" s="11">
        <v>19</v>
      </c>
      <c r="AA117" s="11">
        <v>20</v>
      </c>
      <c r="AB117" s="11">
        <v>21</v>
      </c>
      <c r="AC117" s="11">
        <v>22</v>
      </c>
      <c r="AD117" s="11">
        <v>23</v>
      </c>
      <c r="AE117" s="11">
        <v>24</v>
      </c>
      <c r="AF117" s="11">
        <v>25</v>
      </c>
      <c r="AG117" s="11"/>
      <c r="AH117" s="2"/>
      <c r="AI117" s="2"/>
      <c r="AJ117" s="2"/>
      <c r="AK117" s="2"/>
      <c r="AL117" s="2"/>
      <c r="AM117" s="27"/>
      <c r="AN117" s="2"/>
      <c r="AO117" s="2"/>
      <c r="AP117" s="2"/>
      <c r="AQ117" s="2"/>
      <c r="AR117" s="2"/>
      <c r="AS117" s="2"/>
      <c r="AT117" s="2"/>
    </row>
    <row r="118" spans="22:39" ht="12.75">
      <c r="V118" s="24" t="s">
        <v>129</v>
      </c>
      <c r="W118" s="24" t="s">
        <v>129</v>
      </c>
      <c r="AJ118" s="3"/>
      <c r="AK118" s="3"/>
      <c r="AM118" s="8"/>
    </row>
    <row r="119" spans="22:37" ht="12.75">
      <c r="V119" s="25" t="e">
        <f>MIN(V11:V112)</f>
        <v>#DIV/0!</v>
      </c>
      <c r="W119" s="25">
        <f>MIN(W11:W112)</f>
        <v>0.84143281</v>
      </c>
      <c r="AJ119" s="3"/>
      <c r="AK119" s="3"/>
    </row>
    <row r="120" spans="6:37" ht="12.75">
      <c r="F120" t="s">
        <v>67</v>
      </c>
      <c r="J120" t="s">
        <v>74</v>
      </c>
      <c r="L120" t="s">
        <v>119</v>
      </c>
      <c r="O120" t="s">
        <v>65</v>
      </c>
      <c r="V120" t="s">
        <v>81</v>
      </c>
      <c r="AB120" t="s">
        <v>170</v>
      </c>
      <c r="AJ120" s="3"/>
      <c r="AK120" s="3"/>
    </row>
    <row r="121" spans="8:37" ht="12.75">
      <c r="H121" t="s">
        <v>118</v>
      </c>
      <c r="J121" t="s">
        <v>75</v>
      </c>
      <c r="M121" t="s">
        <v>120</v>
      </c>
      <c r="O121" t="s">
        <v>288</v>
      </c>
      <c r="V121">
        <v>0.6819</v>
      </c>
      <c r="AB121" t="s">
        <v>171</v>
      </c>
      <c r="AJ121" s="3"/>
      <c r="AK121" s="3"/>
    </row>
    <row r="122" spans="14:37" ht="12.75">
      <c r="N122" t="s">
        <v>121</v>
      </c>
      <c r="V122">
        <v>1.82E-05</v>
      </c>
      <c r="AB122" t="s">
        <v>172</v>
      </c>
      <c r="AJ122" s="3"/>
      <c r="AK122" s="3"/>
    </row>
    <row r="123" spans="22:37" ht="12.75">
      <c r="V123" t="s">
        <v>82</v>
      </c>
      <c r="AJ123" s="3"/>
      <c r="AK123" s="3"/>
    </row>
    <row r="124" spans="36:37" ht="12.75">
      <c r="AJ124" s="3"/>
      <c r="AK124" s="3"/>
    </row>
    <row r="125" spans="11:37" ht="12.75">
      <c r="K125" s="5"/>
      <c r="L125" s="5"/>
      <c r="V125" t="s">
        <v>155</v>
      </c>
      <c r="W125" t="s">
        <v>155</v>
      </c>
      <c r="AJ125" s="3"/>
      <c r="AK125" s="3"/>
    </row>
    <row r="126" spans="1:37" ht="12.75">
      <c r="A126" s="3"/>
      <c r="B126" s="3"/>
      <c r="K126" s="6"/>
      <c r="L126" s="5"/>
      <c r="V126" s="12" t="e">
        <f>MAX(V7:V116)</f>
        <v>#DIV/0!</v>
      </c>
      <c r="W126" s="12">
        <f>MAX(W7:W116)</f>
        <v>3.5493514552462266</v>
      </c>
      <c r="AJ126" s="3"/>
      <c r="AK126" s="3"/>
    </row>
    <row r="127" spans="1:37" ht="12.75">
      <c r="A127" s="3"/>
      <c r="B127" s="3"/>
      <c r="AJ127" s="3"/>
      <c r="AK127" s="3"/>
    </row>
    <row r="128" spans="1:37" ht="12.75">
      <c r="A128" s="3"/>
      <c r="B128" s="3"/>
      <c r="AJ128" s="3"/>
      <c r="AK128" s="3"/>
    </row>
    <row r="129" spans="1:37" ht="12.75">
      <c r="A129" s="3"/>
      <c r="B129" s="3"/>
      <c r="AJ129" s="3"/>
      <c r="AK129" s="3"/>
    </row>
    <row r="130" spans="1:37" ht="12.75">
      <c r="A130" s="3"/>
      <c r="B130" s="3"/>
      <c r="AJ130" s="3"/>
      <c r="AK130" s="3"/>
    </row>
    <row r="131" spans="1:46" ht="12.75">
      <c r="A131" s="2" t="s">
        <v>350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t="s">
        <v>3</v>
      </c>
      <c r="B132" s="40"/>
      <c r="C132" s="38">
        <f aca="true" t="shared" si="38" ref="C132:C141">EXP(K132+L132*Z132+M132*AA132+N132*AA132^2)</f>
        <v>2.280381809140017E+184</v>
      </c>
      <c r="E132">
        <v>1</v>
      </c>
      <c r="F132">
        <v>1</v>
      </c>
      <c r="G132" s="11"/>
      <c r="H132">
        <v>99999</v>
      </c>
      <c r="I132">
        <v>1</v>
      </c>
      <c r="J132">
        <v>1</v>
      </c>
      <c r="K132" s="51">
        <v>1</v>
      </c>
      <c r="L132" s="70">
        <v>1</v>
      </c>
      <c r="M132" s="12">
        <v>1</v>
      </c>
      <c r="N132" s="55">
        <v>1</v>
      </c>
      <c r="O132" s="10">
        <f aca="true" t="shared" si="39" ref="O132:O141">K132-LN(S132)+LN(F132)</f>
        <v>1</v>
      </c>
      <c r="P132">
        <v>1</v>
      </c>
      <c r="Q132">
        <v>1</v>
      </c>
      <c r="R132">
        <v>1</v>
      </c>
      <c r="S132" s="11">
        <v>1</v>
      </c>
      <c r="T132">
        <v>1</v>
      </c>
      <c r="U132">
        <v>1</v>
      </c>
      <c r="V132" s="20">
        <f>U132/T132</f>
        <v>1</v>
      </c>
      <c r="W132" s="20"/>
      <c r="X132" s="13">
        <v>1</v>
      </c>
      <c r="Y132" s="13">
        <v>1</v>
      </c>
      <c r="Z132" s="16">
        <v>3.5</v>
      </c>
      <c r="AA132" s="32">
        <f aca="true" t="shared" si="40" ref="AA132:AA140">$AA$6</f>
        <v>20</v>
      </c>
      <c r="AB132" s="41">
        <f aca="true" t="shared" si="41" ref="AB132:AB139">EXP(O132+L132*Z132+M132*AA132+N132*AA132^2)</f>
        <v>2.280381809140017E+184</v>
      </c>
      <c r="AC132" s="3">
        <v>0</v>
      </c>
      <c r="AD132" s="48">
        <v>22</v>
      </c>
      <c r="AE132" s="19"/>
      <c r="AF132">
        <v>-99</v>
      </c>
      <c r="AG132" s="11"/>
      <c r="AH132" s="3"/>
      <c r="AI132" s="3"/>
      <c r="AJ132" s="3"/>
      <c r="AK132" s="16"/>
      <c r="AL132" s="3" t="str">
        <f aca="true" t="shared" si="42" ref="AL132:AL141">A132</f>
        <v>Kenya</v>
      </c>
      <c r="AM132" s="46">
        <f aca="true" t="shared" si="43" ref="AM132:AM140">AB132</f>
        <v>2.280381809140017E+184</v>
      </c>
      <c r="AN132" s="46">
        <f aca="true" t="shared" si="44" ref="AN132:AN140">Q132*R132/100</f>
        <v>0.01</v>
      </c>
      <c r="AO132" s="14">
        <f aca="true" t="shared" si="45" ref="AO132:AO140">EXP(L132*12+20*M132+400*N132)</f>
        <v>4.123027032079202E+187</v>
      </c>
      <c r="AP132" s="14">
        <f aca="true" t="shared" si="46" ref="AP132:AP140">EXP(M132*25+N132*25^2)/EXP(M132*5+N132*25)</f>
        <v>1.8305381315857798E+269</v>
      </c>
      <c r="AQ132" s="14">
        <f aca="true" t="shared" si="47" ref="AQ132:AQ141">EXP(L132*4)</f>
        <v>54.598150033144236</v>
      </c>
      <c r="AR132" s="14">
        <f aca="true" t="shared" si="48" ref="AR132:AR141">EXP(L132*8)</f>
        <v>2980.9579870417283</v>
      </c>
      <c r="AS132" t="s">
        <v>19</v>
      </c>
      <c r="AT132" t="s">
        <v>20</v>
      </c>
    </row>
    <row r="133" spans="1:46" ht="12.75">
      <c r="A133" s="7" t="s">
        <v>58</v>
      </c>
      <c r="B133" s="40"/>
      <c r="C133" s="38">
        <f t="shared" si="38"/>
        <v>19.375318232349855</v>
      </c>
      <c r="D133" t="s">
        <v>55</v>
      </c>
      <c r="E133">
        <v>1</v>
      </c>
      <c r="F133">
        <v>1</v>
      </c>
      <c r="G133" s="11"/>
      <c r="H133">
        <v>50200</v>
      </c>
      <c r="I133">
        <v>1982</v>
      </c>
      <c r="J133">
        <v>1</v>
      </c>
      <c r="K133" s="51">
        <v>1</v>
      </c>
      <c r="L133" s="70">
        <v>0.114</v>
      </c>
      <c r="M133" s="12">
        <v>0.08</v>
      </c>
      <c r="N133" s="55">
        <v>-0.00137</v>
      </c>
      <c r="O133" s="10">
        <f t="shared" si="39"/>
        <v>1</v>
      </c>
      <c r="P133">
        <v>1</v>
      </c>
      <c r="Q133">
        <v>1</v>
      </c>
      <c r="R133">
        <v>1</v>
      </c>
      <c r="S133" s="11">
        <v>1</v>
      </c>
      <c r="T133">
        <v>1</v>
      </c>
      <c r="U133">
        <v>1</v>
      </c>
      <c r="V133" s="20">
        <f>U133/T133</f>
        <v>1</v>
      </c>
      <c r="W133" s="20"/>
      <c r="X133" s="13">
        <v>1980</v>
      </c>
      <c r="Y133" s="13">
        <v>1</v>
      </c>
      <c r="Z133" s="16">
        <v>8</v>
      </c>
      <c r="AA133" s="32">
        <f t="shared" si="40"/>
        <v>20</v>
      </c>
      <c r="AB133" s="41">
        <f t="shared" si="41"/>
        <v>19.375318232349855</v>
      </c>
      <c r="AC133" s="3">
        <v>0</v>
      </c>
      <c r="AD133" s="48">
        <v>97</v>
      </c>
      <c r="AE133" s="19"/>
      <c r="AF133">
        <v>-99</v>
      </c>
      <c r="AG133" s="11"/>
      <c r="AH133" s="3"/>
      <c r="AI133" s="3"/>
      <c r="AJ133" s="3"/>
      <c r="AK133" s="16"/>
      <c r="AL133" s="3" t="str">
        <f t="shared" si="42"/>
        <v>Korea</v>
      </c>
      <c r="AM133" s="46">
        <f t="shared" si="43"/>
        <v>19.375318232349855</v>
      </c>
      <c r="AN133" s="46">
        <f t="shared" si="44"/>
        <v>0.01</v>
      </c>
      <c r="AO133" s="14">
        <f t="shared" si="45"/>
        <v>11.245859314881844</v>
      </c>
      <c r="AP133" s="14">
        <f t="shared" si="46"/>
        <v>2.1771136810045597</v>
      </c>
      <c r="AQ133" s="14">
        <f t="shared" si="47"/>
        <v>1.577750344766478</v>
      </c>
      <c r="AR133" s="14">
        <f t="shared" si="48"/>
        <v>2.48929615041074</v>
      </c>
      <c r="AS133" t="s">
        <v>59</v>
      </c>
      <c r="AT133" t="s">
        <v>60</v>
      </c>
    </row>
    <row r="134" spans="1:45" ht="12.75">
      <c r="A134" s="7" t="s">
        <v>58</v>
      </c>
      <c r="B134" s="40"/>
      <c r="C134" s="38">
        <f t="shared" si="38"/>
        <v>9.244233946302527</v>
      </c>
      <c r="D134" t="s">
        <v>55</v>
      </c>
      <c r="E134">
        <v>1</v>
      </c>
      <c r="F134">
        <v>1</v>
      </c>
      <c r="G134" s="11"/>
      <c r="H134">
        <v>50200</v>
      </c>
      <c r="I134">
        <v>1982</v>
      </c>
      <c r="J134">
        <v>2</v>
      </c>
      <c r="K134" s="51">
        <v>1</v>
      </c>
      <c r="L134" s="70">
        <v>0.102</v>
      </c>
      <c r="M134" s="12">
        <v>0.041</v>
      </c>
      <c r="N134" s="55">
        <v>-0.00103</v>
      </c>
      <c r="O134" s="10">
        <f t="shared" si="39"/>
        <v>1</v>
      </c>
      <c r="P134">
        <v>1</v>
      </c>
      <c r="Q134">
        <v>1</v>
      </c>
      <c r="R134">
        <v>1</v>
      </c>
      <c r="S134" s="11">
        <v>1</v>
      </c>
      <c r="T134">
        <v>1</v>
      </c>
      <c r="U134">
        <v>1</v>
      </c>
      <c r="V134" s="20">
        <f>U134/T134</f>
        <v>1</v>
      </c>
      <c r="W134" s="20"/>
      <c r="X134" s="13">
        <v>1980</v>
      </c>
      <c r="Y134" s="13">
        <v>1</v>
      </c>
      <c r="Z134" s="16">
        <v>8</v>
      </c>
      <c r="AA134" s="32">
        <f t="shared" si="40"/>
        <v>20</v>
      </c>
      <c r="AB134" s="41">
        <f t="shared" si="41"/>
        <v>9.244233946302527</v>
      </c>
      <c r="AC134" s="3">
        <v>0</v>
      </c>
      <c r="AD134" s="48">
        <v>97</v>
      </c>
      <c r="AE134" s="19"/>
      <c r="AF134">
        <v>-99</v>
      </c>
      <c r="AG134" s="11"/>
      <c r="AH134" s="3"/>
      <c r="AI134" s="3"/>
      <c r="AJ134" s="3"/>
      <c r="AK134" s="16"/>
      <c r="AL134" s="3" t="str">
        <f t="shared" si="42"/>
        <v>Korea</v>
      </c>
      <c r="AM134" s="46">
        <f t="shared" si="43"/>
        <v>9.244233946302527</v>
      </c>
      <c r="AN134" s="46">
        <f t="shared" si="44"/>
        <v>0.01</v>
      </c>
      <c r="AO134" s="14">
        <f t="shared" si="45"/>
        <v>5.114092682531807</v>
      </c>
      <c r="AP134" s="14">
        <f t="shared" si="46"/>
        <v>1.223848008111358</v>
      </c>
      <c r="AQ134" s="14">
        <f t="shared" si="47"/>
        <v>1.5038071611701118</v>
      </c>
      <c r="AR134" s="14">
        <f t="shared" si="48"/>
        <v>2.2614359779865105</v>
      </c>
      <c r="AS134" t="s">
        <v>59</v>
      </c>
    </row>
    <row r="135" spans="1:45" ht="12.75">
      <c r="A135" s="7" t="s">
        <v>58</v>
      </c>
      <c r="B135" s="40"/>
      <c r="C135" s="38">
        <f t="shared" si="38"/>
        <v>16.003380801294988</v>
      </c>
      <c r="D135" t="s">
        <v>55</v>
      </c>
      <c r="E135">
        <v>1</v>
      </c>
      <c r="F135">
        <v>1</v>
      </c>
      <c r="G135" s="11"/>
      <c r="H135">
        <v>50200</v>
      </c>
      <c r="I135">
        <v>1988</v>
      </c>
      <c r="J135">
        <v>1</v>
      </c>
      <c r="K135" s="51">
        <v>1</v>
      </c>
      <c r="L135" s="70">
        <v>0.0971</v>
      </c>
      <c r="M135" s="12">
        <v>0.076</v>
      </c>
      <c r="N135" s="55">
        <v>-0.00131</v>
      </c>
      <c r="O135" s="10">
        <f t="shared" si="39"/>
        <v>1</v>
      </c>
      <c r="P135">
        <v>1</v>
      </c>
      <c r="Q135">
        <v>1</v>
      </c>
      <c r="R135">
        <v>1</v>
      </c>
      <c r="S135" s="11">
        <v>1</v>
      </c>
      <c r="T135">
        <v>1</v>
      </c>
      <c r="U135">
        <v>1</v>
      </c>
      <c r="V135" s="20">
        <f>U135/T135</f>
        <v>1</v>
      </c>
      <c r="W135" s="20"/>
      <c r="X135" s="13">
        <v>1990</v>
      </c>
      <c r="Y135" s="13">
        <v>1</v>
      </c>
      <c r="Z135" s="16">
        <v>8</v>
      </c>
      <c r="AA135" s="32">
        <f t="shared" si="40"/>
        <v>20</v>
      </c>
      <c r="AB135" s="41">
        <f t="shared" si="41"/>
        <v>16.003380801294988</v>
      </c>
      <c r="AC135" s="3">
        <v>0</v>
      </c>
      <c r="AD135" s="48">
        <v>97</v>
      </c>
      <c r="AE135" s="19"/>
      <c r="AF135">
        <v>-99</v>
      </c>
      <c r="AG135" s="11"/>
      <c r="AH135" s="3"/>
      <c r="AI135" s="3"/>
      <c r="AJ135" s="3"/>
      <c r="AK135" s="16"/>
      <c r="AL135" s="3" t="str">
        <f t="shared" si="42"/>
        <v>Korea</v>
      </c>
      <c r="AM135" s="46">
        <f t="shared" si="43"/>
        <v>16.003380801294988</v>
      </c>
      <c r="AN135" s="46">
        <f t="shared" si="44"/>
        <v>0.01</v>
      </c>
      <c r="AO135" s="14">
        <f t="shared" si="45"/>
        <v>8.681549269370763</v>
      </c>
      <c r="AP135" s="14">
        <f t="shared" si="46"/>
        <v>2.083397552906025</v>
      </c>
      <c r="AQ135" s="14">
        <f t="shared" si="47"/>
        <v>1.4746195141399643</v>
      </c>
      <c r="AR135" s="14">
        <f t="shared" si="48"/>
        <v>2.174502711482384</v>
      </c>
      <c r="AS135" t="s">
        <v>59</v>
      </c>
    </row>
    <row r="136" spans="1:45" ht="12.75">
      <c r="A136" s="7" t="s">
        <v>58</v>
      </c>
      <c r="B136" s="40"/>
      <c r="C136" s="38">
        <f t="shared" si="38"/>
        <v>6.659204280420744</v>
      </c>
      <c r="D136" t="s">
        <v>55</v>
      </c>
      <c r="E136">
        <v>1</v>
      </c>
      <c r="F136">
        <v>1</v>
      </c>
      <c r="G136" s="11"/>
      <c r="H136">
        <v>50200</v>
      </c>
      <c r="I136">
        <v>1988</v>
      </c>
      <c r="J136">
        <v>2</v>
      </c>
      <c r="K136" s="51">
        <v>1</v>
      </c>
      <c r="L136" s="70">
        <v>0.065</v>
      </c>
      <c r="M136" s="12">
        <v>0.036</v>
      </c>
      <c r="N136" s="55">
        <v>-0.00086</v>
      </c>
      <c r="O136" s="10">
        <f t="shared" si="39"/>
        <v>1</v>
      </c>
      <c r="P136">
        <v>1</v>
      </c>
      <c r="Q136">
        <v>1</v>
      </c>
      <c r="R136">
        <v>1</v>
      </c>
      <c r="S136" s="11">
        <v>1</v>
      </c>
      <c r="T136">
        <v>1</v>
      </c>
      <c r="U136">
        <v>1</v>
      </c>
      <c r="V136" s="20">
        <f>U136/T136</f>
        <v>1</v>
      </c>
      <c r="W136" s="20"/>
      <c r="X136" s="13">
        <v>1990</v>
      </c>
      <c r="Y136" s="13">
        <v>1</v>
      </c>
      <c r="Z136" s="16">
        <v>8</v>
      </c>
      <c r="AA136" s="32">
        <f t="shared" si="40"/>
        <v>20</v>
      </c>
      <c r="AB136" s="41">
        <f t="shared" si="41"/>
        <v>6.659204280420744</v>
      </c>
      <c r="AC136" s="3">
        <v>0</v>
      </c>
      <c r="AD136" s="48">
        <v>97</v>
      </c>
      <c r="AE136" s="19"/>
      <c r="AF136">
        <v>-99</v>
      </c>
      <c r="AG136" s="11"/>
      <c r="AH136" s="3"/>
      <c r="AI136" s="3"/>
      <c r="AJ136" s="3"/>
      <c r="AK136" s="16"/>
      <c r="AL136" s="3" t="str">
        <f t="shared" si="42"/>
        <v>Korea</v>
      </c>
      <c r="AM136" s="46">
        <f t="shared" si="43"/>
        <v>6.659204280420744</v>
      </c>
      <c r="AN136" s="46">
        <f t="shared" si="44"/>
        <v>0.01</v>
      </c>
      <c r="AO136" s="14">
        <f t="shared" si="45"/>
        <v>3.177199028485973</v>
      </c>
      <c r="AP136" s="14">
        <f t="shared" si="46"/>
        <v>1.2262981534562105</v>
      </c>
      <c r="AQ136" s="14">
        <f t="shared" si="47"/>
        <v>1.2969300866657718</v>
      </c>
      <c r="AR136" s="14">
        <f t="shared" si="48"/>
        <v>1.6820276496988864</v>
      </c>
      <c r="AS136" t="s">
        <v>59</v>
      </c>
    </row>
    <row r="137" spans="1:46" ht="12.75">
      <c r="A137" t="s">
        <v>16</v>
      </c>
      <c r="B137" s="40">
        <v>986</v>
      </c>
      <c r="C137" s="38">
        <f t="shared" si="38"/>
        <v>464.6256371790697</v>
      </c>
      <c r="D137" t="s">
        <v>38</v>
      </c>
      <c r="E137">
        <v>1</v>
      </c>
      <c r="F137">
        <v>12</v>
      </c>
      <c r="G137" s="11"/>
      <c r="H137">
        <v>51400</v>
      </c>
      <c r="I137">
        <v>1979</v>
      </c>
      <c r="J137">
        <v>1</v>
      </c>
      <c r="K137" s="51">
        <v>5.12</v>
      </c>
      <c r="L137" s="70">
        <v>0.0528</v>
      </c>
      <c r="M137" s="12">
        <v>0.00919</v>
      </c>
      <c r="N137" s="55">
        <v>-3.03E-05</v>
      </c>
      <c r="O137" s="10">
        <f t="shared" si="39"/>
        <v>6.821918765228265</v>
      </c>
      <c r="P137">
        <v>22.6</v>
      </c>
      <c r="Q137">
        <v>2495</v>
      </c>
      <c r="R137">
        <v>63.27</v>
      </c>
      <c r="S137" s="9">
        <v>2.188</v>
      </c>
      <c r="T137">
        <v>9057</v>
      </c>
      <c r="U137">
        <v>-999.99</v>
      </c>
      <c r="V137" s="23">
        <f>$V$121+$V$122*T137</f>
        <v>0.8467374</v>
      </c>
      <c r="W137" s="12">
        <v>2.214814</v>
      </c>
      <c r="X137" s="13">
        <v>1980</v>
      </c>
      <c r="Y137">
        <v>9057</v>
      </c>
      <c r="Z137" s="21">
        <v>16.09</v>
      </c>
      <c r="AA137" s="32">
        <f t="shared" si="40"/>
        <v>20</v>
      </c>
      <c r="AB137" s="41">
        <f t="shared" si="41"/>
        <v>2548.2210448577844</v>
      </c>
      <c r="AC137" s="26">
        <v>0</v>
      </c>
      <c r="AD137" s="48">
        <v>100</v>
      </c>
      <c r="AE137">
        <v>14.18</v>
      </c>
      <c r="AF137">
        <v>-99</v>
      </c>
      <c r="AG137" s="11"/>
      <c r="AH137" s="3"/>
      <c r="AI137" s="3"/>
      <c r="AJ137" s="3"/>
      <c r="AK137" s="16"/>
      <c r="AL137" s="28" t="str">
        <f t="shared" si="42"/>
        <v>Malaysia</v>
      </c>
      <c r="AM137" s="46">
        <f t="shared" si="43"/>
        <v>2548.2210448577844</v>
      </c>
      <c r="AN137" s="46">
        <f t="shared" si="44"/>
        <v>1578.5865</v>
      </c>
      <c r="AO137" s="22">
        <f t="shared" si="45"/>
        <v>2.237322861526343</v>
      </c>
      <c r="AP137" s="22">
        <f t="shared" si="46"/>
        <v>1.1801245691712035</v>
      </c>
      <c r="AQ137" s="22">
        <f t="shared" si="47"/>
        <v>1.2351593622323005</v>
      </c>
      <c r="AR137" s="22">
        <f t="shared" si="48"/>
        <v>1.525618650110103</v>
      </c>
      <c r="AS137" t="s">
        <v>39</v>
      </c>
      <c r="AT137" t="s">
        <v>276</v>
      </c>
    </row>
    <row r="138" spans="1:46" ht="12.75">
      <c r="A138" t="s">
        <v>16</v>
      </c>
      <c r="B138" s="40">
        <v>696</v>
      </c>
      <c r="C138" s="38">
        <f t="shared" si="38"/>
        <v>337.7935803835647</v>
      </c>
      <c r="D138" t="s">
        <v>38</v>
      </c>
      <c r="E138">
        <v>1</v>
      </c>
      <c r="F138">
        <v>12</v>
      </c>
      <c r="G138" s="11"/>
      <c r="H138">
        <v>51400</v>
      </c>
      <c r="I138">
        <v>1979</v>
      </c>
      <c r="J138">
        <v>2</v>
      </c>
      <c r="K138" s="51">
        <v>4.35</v>
      </c>
      <c r="L138" s="70">
        <v>0.0815</v>
      </c>
      <c r="M138" s="12">
        <v>0.0116</v>
      </c>
      <c r="N138" s="55">
        <v>-5.5E-05</v>
      </c>
      <c r="O138" s="10">
        <f t="shared" si="39"/>
        <v>6.051918765228265</v>
      </c>
      <c r="P138">
        <v>22.6</v>
      </c>
      <c r="Q138">
        <v>2495</v>
      </c>
      <c r="R138">
        <v>63.27</v>
      </c>
      <c r="S138" s="9">
        <v>2.188</v>
      </c>
      <c r="T138">
        <v>9057</v>
      </c>
      <c r="U138">
        <v>-999.99</v>
      </c>
      <c r="V138" s="23">
        <f>$V$121+$V$122*T138</f>
        <v>0.8467374</v>
      </c>
      <c r="W138" s="12">
        <v>2.214814</v>
      </c>
      <c r="X138" s="13">
        <v>1980</v>
      </c>
      <c r="Y138">
        <v>9057</v>
      </c>
      <c r="Z138" s="21">
        <v>15.49</v>
      </c>
      <c r="AA138" s="75">
        <f t="shared" si="40"/>
        <v>20</v>
      </c>
      <c r="AB138" s="41">
        <f t="shared" si="41"/>
        <v>1852.61561453509</v>
      </c>
      <c r="AC138" s="26">
        <v>0</v>
      </c>
      <c r="AD138" s="48">
        <v>100</v>
      </c>
      <c r="AE138">
        <v>14.18</v>
      </c>
      <c r="AF138">
        <v>-99</v>
      </c>
      <c r="AG138" s="11"/>
      <c r="AH138" s="3"/>
      <c r="AI138" s="3"/>
      <c r="AJ138" s="3"/>
      <c r="AK138" s="16"/>
      <c r="AL138" s="3" t="str">
        <f t="shared" si="42"/>
        <v>Malaysia</v>
      </c>
      <c r="AM138" s="46">
        <f t="shared" si="43"/>
        <v>1852.61561453509</v>
      </c>
      <c r="AN138" s="46">
        <f t="shared" si="44"/>
        <v>1578.5865</v>
      </c>
      <c r="AO138" s="22">
        <f t="shared" si="45"/>
        <v>3.2805136147501823</v>
      </c>
      <c r="AP138" s="22">
        <f t="shared" si="46"/>
        <v>1.2201819658998725</v>
      </c>
      <c r="AQ138" s="22">
        <f t="shared" si="47"/>
        <v>1.3854153688727846</v>
      </c>
      <c r="AR138" s="22">
        <f t="shared" si="48"/>
        <v>1.919375744308914</v>
      </c>
      <c r="AS138" t="s">
        <v>39</v>
      </c>
      <c r="AT138" t="s">
        <v>276</v>
      </c>
    </row>
    <row r="139" spans="1:46" ht="12.75">
      <c r="A139" t="s">
        <v>16</v>
      </c>
      <c r="B139" s="40"/>
      <c r="C139" s="38">
        <f t="shared" si="38"/>
        <v>1.1207549459546325E+188</v>
      </c>
      <c r="E139">
        <v>1</v>
      </c>
      <c r="F139">
        <v>1</v>
      </c>
      <c r="G139" s="11"/>
      <c r="H139">
        <v>51400</v>
      </c>
      <c r="I139">
        <v>1</v>
      </c>
      <c r="J139">
        <v>1</v>
      </c>
      <c r="K139" s="51">
        <v>1</v>
      </c>
      <c r="L139" s="70">
        <v>1</v>
      </c>
      <c r="M139" s="12">
        <v>1</v>
      </c>
      <c r="N139" s="55">
        <v>1</v>
      </c>
      <c r="O139" s="10">
        <f t="shared" si="39"/>
        <v>1</v>
      </c>
      <c r="P139">
        <v>1</v>
      </c>
      <c r="Q139">
        <v>1</v>
      </c>
      <c r="R139">
        <v>1</v>
      </c>
      <c r="S139" s="3">
        <v>1</v>
      </c>
      <c r="T139">
        <v>1</v>
      </c>
      <c r="U139">
        <v>1</v>
      </c>
      <c r="V139" s="20">
        <f>U139/T139</f>
        <v>1</v>
      </c>
      <c r="W139" s="20"/>
      <c r="X139" s="13">
        <v>1</v>
      </c>
      <c r="Y139" s="13">
        <v>1</v>
      </c>
      <c r="Z139" s="18">
        <v>12</v>
      </c>
      <c r="AA139" s="32">
        <f t="shared" si="40"/>
        <v>20</v>
      </c>
      <c r="AB139" s="41">
        <f t="shared" si="41"/>
        <v>1.1207549459546325E+188</v>
      </c>
      <c r="AC139" s="3">
        <v>0</v>
      </c>
      <c r="AD139" s="48">
        <v>100</v>
      </c>
      <c r="AE139" s="19"/>
      <c r="AF139">
        <v>-99</v>
      </c>
      <c r="AG139" s="11"/>
      <c r="AH139" s="3"/>
      <c r="AI139" s="3"/>
      <c r="AJ139" s="3"/>
      <c r="AK139" s="16"/>
      <c r="AL139" s="3" t="str">
        <f t="shared" si="42"/>
        <v>Malaysia</v>
      </c>
      <c r="AM139" s="46">
        <f t="shared" si="43"/>
        <v>1.1207549459546325E+188</v>
      </c>
      <c r="AN139" s="46">
        <f t="shared" si="44"/>
        <v>0.01</v>
      </c>
      <c r="AO139" s="14">
        <f t="shared" si="45"/>
        <v>4.123027032079202E+187</v>
      </c>
      <c r="AP139" s="14">
        <f t="shared" si="46"/>
        <v>1.8305381315857798E+269</v>
      </c>
      <c r="AQ139" s="14">
        <f t="shared" si="47"/>
        <v>54.598150033144236</v>
      </c>
      <c r="AR139" s="14">
        <f t="shared" si="48"/>
        <v>2980.9579870417283</v>
      </c>
      <c r="AS139" t="s">
        <v>17</v>
      </c>
      <c r="AT139" t="s">
        <v>18</v>
      </c>
    </row>
    <row r="140" spans="1:46" ht="12.75">
      <c r="A140" t="s">
        <v>4</v>
      </c>
      <c r="B140" s="40"/>
      <c r="C140" s="38">
        <f t="shared" si="38"/>
        <v>1.8718513766522217E+183</v>
      </c>
      <c r="E140">
        <v>1</v>
      </c>
      <c r="F140">
        <v>1</v>
      </c>
      <c r="G140" s="11"/>
      <c r="H140">
        <v>99999</v>
      </c>
      <c r="I140">
        <v>1980</v>
      </c>
      <c r="J140">
        <v>1</v>
      </c>
      <c r="K140" s="51">
        <v>1</v>
      </c>
      <c r="L140" s="70">
        <v>1</v>
      </c>
      <c r="M140" s="12">
        <v>1</v>
      </c>
      <c r="N140" s="55">
        <v>1</v>
      </c>
      <c r="O140" s="10">
        <f t="shared" si="39"/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 s="20">
        <f>U140/T140</f>
        <v>1</v>
      </c>
      <c r="W140" s="12">
        <v>1.1441161</v>
      </c>
      <c r="X140" s="13">
        <v>1980</v>
      </c>
      <c r="Y140" s="13">
        <v>1</v>
      </c>
      <c r="Z140" s="21">
        <v>1</v>
      </c>
      <c r="AA140" s="32">
        <f t="shared" si="40"/>
        <v>20</v>
      </c>
      <c r="AB140" s="42">
        <v>1</v>
      </c>
      <c r="AC140" s="3">
        <v>0</v>
      </c>
      <c r="AD140" s="48">
        <v>44</v>
      </c>
      <c r="AE140" s="48">
        <v>6.63</v>
      </c>
      <c r="AF140">
        <v>-99</v>
      </c>
      <c r="AG140" s="11"/>
      <c r="AH140" s="3"/>
      <c r="AI140" s="3"/>
      <c r="AJ140" s="3"/>
      <c r="AK140" s="16"/>
      <c r="AL140" s="3" t="str">
        <f t="shared" si="42"/>
        <v>Tanzania</v>
      </c>
      <c r="AM140" s="46">
        <f t="shared" si="43"/>
        <v>1</v>
      </c>
      <c r="AN140" s="46">
        <f t="shared" si="44"/>
        <v>0.01</v>
      </c>
      <c r="AO140" s="22">
        <f t="shared" si="45"/>
        <v>4.123027032079202E+187</v>
      </c>
      <c r="AP140" s="22">
        <f t="shared" si="46"/>
        <v>1.8305381315857798E+269</v>
      </c>
      <c r="AQ140" s="22">
        <f t="shared" si="47"/>
        <v>54.598150033144236</v>
      </c>
      <c r="AR140" s="22">
        <f t="shared" si="48"/>
        <v>2980.9579870417283</v>
      </c>
      <c r="AS140" t="s">
        <v>19</v>
      </c>
      <c r="AT140" t="s">
        <v>20</v>
      </c>
    </row>
    <row r="141" spans="1:45" ht="12.75">
      <c r="A141" t="s">
        <v>284</v>
      </c>
      <c r="B141" s="40">
        <f>EXP(1.578)</f>
        <v>4.845255603056542</v>
      </c>
      <c r="C141" s="38">
        <f t="shared" si="38"/>
        <v>3.7260107600351047</v>
      </c>
      <c r="D141" t="s">
        <v>55</v>
      </c>
      <c r="E141">
        <v>1</v>
      </c>
      <c r="F141">
        <v>2000</v>
      </c>
      <c r="G141" s="11"/>
      <c r="I141">
        <v>1987</v>
      </c>
      <c r="J141">
        <v>1</v>
      </c>
      <c r="K141" s="51">
        <f>-0.949+0.04+0.166</f>
        <v>-0.7429999999999999</v>
      </c>
      <c r="L141" s="70">
        <v>0.074</v>
      </c>
      <c r="M141" s="12">
        <v>0.0759</v>
      </c>
      <c r="N141" s="55">
        <f>-0.784/1000</f>
        <v>-0.0007840000000000001</v>
      </c>
      <c r="O141" s="10" t="e">
        <f t="shared" si="39"/>
        <v>#NUM!</v>
      </c>
      <c r="S141" s="9"/>
      <c r="V141" s="20"/>
      <c r="W141" s="12"/>
      <c r="X141" s="13">
        <v>1990</v>
      </c>
      <c r="Z141" s="21">
        <v>11.6</v>
      </c>
      <c r="AA141" s="32">
        <v>19.9</v>
      </c>
      <c r="AB141" s="41"/>
      <c r="AC141" s="32">
        <v>1</v>
      </c>
      <c r="AD141" s="48"/>
      <c r="AE141" s="48"/>
      <c r="AG141" s="11"/>
      <c r="AH141" s="3"/>
      <c r="AI141" s="3"/>
      <c r="AJ141" s="3"/>
      <c r="AK141" s="16"/>
      <c r="AL141" s="32" t="str">
        <f t="shared" si="42"/>
        <v>Ireland</v>
      </c>
      <c r="AM141" s="46"/>
      <c r="AN141" s="46"/>
      <c r="AO141" s="22"/>
      <c r="AP141" s="22"/>
      <c r="AQ141" s="22">
        <f t="shared" si="47"/>
        <v>1.3444701568320527</v>
      </c>
      <c r="AR141" s="22">
        <f t="shared" si="48"/>
        <v>1.8076000026120045</v>
      </c>
      <c r="AS141" t="s">
        <v>285</v>
      </c>
    </row>
    <row r="142" spans="36:37" ht="12.75">
      <c r="AJ142" s="3"/>
      <c r="AK142" s="3"/>
    </row>
    <row r="143" spans="36:37" ht="12.75">
      <c r="AJ143" s="3"/>
      <c r="AK143" s="3"/>
    </row>
    <row r="144" spans="36:37" ht="12.75">
      <c r="AJ144" s="3"/>
      <c r="AK144" s="3"/>
    </row>
    <row r="145" spans="36:37" ht="12.75">
      <c r="AJ145" s="3"/>
      <c r="AK145" s="3"/>
    </row>
    <row r="146" spans="36:37" ht="12.75">
      <c r="AJ146" s="3"/>
      <c r="AK146" s="3"/>
    </row>
    <row r="147" spans="36:37" ht="12.75">
      <c r="AJ147" s="3"/>
      <c r="AK147" s="3"/>
    </row>
    <row r="148" spans="36:37" ht="12.75">
      <c r="AJ148" s="3"/>
      <c r="AK148" s="3"/>
    </row>
    <row r="149" spans="36:37" ht="12.75">
      <c r="AJ149" s="3"/>
      <c r="AK149" s="3"/>
    </row>
    <row r="150" spans="36:37" ht="12.75">
      <c r="AJ150" s="3"/>
      <c r="AK150" s="3"/>
    </row>
    <row r="151" spans="36:37" ht="12.75">
      <c r="AJ151" s="3"/>
      <c r="AK151" s="3"/>
    </row>
    <row r="152" spans="36:37" ht="12.75">
      <c r="AJ152" s="3"/>
      <c r="AK152" s="3"/>
    </row>
    <row r="153" spans="36:37" ht="12.75">
      <c r="AJ153" s="3"/>
      <c r="AK153" s="3"/>
    </row>
    <row r="154" spans="36:37" ht="12.75">
      <c r="AJ154" s="3"/>
      <c r="AK154" s="3"/>
    </row>
    <row r="155" spans="36:37" ht="12.75">
      <c r="AJ155" s="3"/>
      <c r="AK155" s="3"/>
    </row>
    <row r="156" spans="36:37" ht="12.75">
      <c r="AJ156" s="3"/>
      <c r="AK156" s="3"/>
    </row>
    <row r="157" spans="36:37" ht="12.75">
      <c r="AJ157" s="3"/>
      <c r="AK157" s="3"/>
    </row>
    <row r="158" spans="36:37" ht="12.75">
      <c r="AJ158" s="3"/>
      <c r="AK158" s="3"/>
    </row>
    <row r="159" spans="36:37" ht="12.75">
      <c r="AJ159" s="3"/>
      <c r="AK159" s="3"/>
    </row>
    <row r="160" spans="36:37" ht="12.75">
      <c r="AJ160" s="3"/>
      <c r="AK160" s="3"/>
    </row>
    <row r="161" spans="36:37" ht="12.75">
      <c r="AJ161" s="3"/>
      <c r="AK161" s="3"/>
    </row>
    <row r="162" spans="36:37" ht="12.75">
      <c r="AJ162" s="3"/>
      <c r="AK162" s="3"/>
    </row>
    <row r="163" spans="36:37" ht="12.75">
      <c r="AJ163" s="3"/>
      <c r="AK163" s="3"/>
    </row>
    <row r="164" spans="36:37" ht="12.75">
      <c r="AJ164" s="3"/>
      <c r="AK164" s="3"/>
    </row>
    <row r="165" spans="36:37" ht="12.75">
      <c r="AJ165" s="3"/>
      <c r="AK165" s="3"/>
    </row>
    <row r="166" spans="36:37" ht="12.75">
      <c r="AJ166" s="3"/>
      <c r="AK166" s="3"/>
    </row>
    <row r="167" spans="36:37" ht="12.75">
      <c r="AJ167" s="3"/>
      <c r="AK167" s="3"/>
    </row>
    <row r="168" spans="36:37" ht="12.75">
      <c r="AJ168" s="3"/>
      <c r="AK168" s="3"/>
    </row>
    <row r="169" spans="36:37" ht="12.75">
      <c r="AJ169" s="3"/>
      <c r="AK169" s="3"/>
    </row>
    <row r="170" spans="36:37" ht="12.75">
      <c r="AJ170" s="3"/>
      <c r="AK170" s="3"/>
    </row>
    <row r="171" spans="36:37" ht="12.75">
      <c r="AJ171" s="3"/>
      <c r="AK171" s="3"/>
    </row>
    <row r="172" spans="36:37" ht="12.75">
      <c r="AJ172" s="3"/>
      <c r="AK172" s="3"/>
    </row>
    <row r="173" spans="36:37" ht="12.75">
      <c r="AJ173" s="3"/>
      <c r="AK173" s="3"/>
    </row>
    <row r="174" spans="36:37" ht="12.75">
      <c r="AJ174" s="3"/>
      <c r="AK174" s="3"/>
    </row>
    <row r="175" spans="36:37" ht="12.75">
      <c r="AJ175" s="3"/>
      <c r="AK175" s="3"/>
    </row>
    <row r="176" spans="36:37" ht="12.75">
      <c r="AJ176" s="3"/>
      <c r="AK176" s="3"/>
    </row>
    <row r="177" spans="36:37" ht="12.75">
      <c r="AJ177" s="3"/>
      <c r="AK177" s="3"/>
    </row>
    <row r="178" spans="36:37" ht="12.75">
      <c r="AJ178" s="3"/>
      <c r="AK178" s="3"/>
    </row>
    <row r="179" spans="36:37" ht="12.75">
      <c r="AJ179" s="3"/>
      <c r="AK179" s="3"/>
    </row>
    <row r="180" spans="36:37" ht="12.75">
      <c r="AJ180" s="3"/>
      <c r="AK180" s="3"/>
    </row>
    <row r="181" spans="36:37" ht="12.75">
      <c r="AJ181" s="3"/>
      <c r="AK181" s="3"/>
    </row>
    <row r="182" spans="36:37" ht="12.75">
      <c r="AJ182" s="3"/>
      <c r="AK182" s="3"/>
    </row>
    <row r="183" spans="36:37" ht="12.75">
      <c r="AJ183" s="3"/>
      <c r="AK183" s="3"/>
    </row>
    <row r="184" spans="36:37" ht="12.75">
      <c r="AJ184" s="3"/>
      <c r="AK184" s="3"/>
    </row>
    <row r="185" spans="36:37" ht="12.75">
      <c r="AJ185" s="3"/>
      <c r="AK185" s="3"/>
    </row>
    <row r="186" spans="36:37" ht="12.75">
      <c r="AJ186" s="3"/>
      <c r="AK186" s="3"/>
    </row>
    <row r="187" spans="36:37" ht="12.75">
      <c r="AJ187" s="3"/>
      <c r="AK187" s="3"/>
    </row>
    <row r="188" spans="36:37" ht="12.75">
      <c r="AJ188" s="3"/>
      <c r="AK188" s="3"/>
    </row>
    <row r="189" spans="36:37" ht="12.75">
      <c r="AJ189" s="3"/>
      <c r="AK189" s="3"/>
    </row>
    <row r="190" spans="36:37" ht="12.75">
      <c r="AJ190" s="3"/>
      <c r="AK190" s="3"/>
    </row>
    <row r="191" spans="36:37" ht="12.75">
      <c r="AJ191" s="3"/>
      <c r="AK191" s="3"/>
    </row>
    <row r="192" spans="36:37" ht="12.75">
      <c r="AJ192" s="3"/>
      <c r="AK192" s="3"/>
    </row>
    <row r="193" spans="36:37" ht="12.75">
      <c r="AJ193" s="3"/>
      <c r="AK193" s="3"/>
    </row>
    <row r="194" spans="36:37" ht="12.75">
      <c r="AJ194" s="3"/>
      <c r="AK194" s="3"/>
    </row>
    <row r="195" spans="36:37" ht="12.75">
      <c r="AJ195" s="3"/>
      <c r="AK195" s="3"/>
    </row>
    <row r="196" spans="36:37" ht="12.75">
      <c r="AJ196" s="3"/>
      <c r="AK196" s="3"/>
    </row>
    <row r="197" spans="36:37" ht="12.75">
      <c r="AJ197" s="3"/>
      <c r="AK197" s="3"/>
    </row>
    <row r="198" spans="36:37" ht="12.75">
      <c r="AJ198" s="3"/>
      <c r="AK198" s="3"/>
    </row>
    <row r="199" spans="36:37" ht="12.75">
      <c r="AJ199" s="3"/>
      <c r="AK199" s="3"/>
    </row>
    <row r="200" spans="36:37" ht="12.75">
      <c r="AJ200" s="3"/>
      <c r="AK200" s="3"/>
    </row>
    <row r="201" spans="36:37" ht="12.75">
      <c r="AJ201" s="3"/>
      <c r="AK201" s="3"/>
    </row>
    <row r="202" spans="36:37" ht="12.75">
      <c r="AJ202" s="3"/>
      <c r="AK202" s="3"/>
    </row>
    <row r="203" spans="36:37" ht="12.75">
      <c r="AJ203" s="3"/>
      <c r="AK203" s="3"/>
    </row>
    <row r="204" spans="36:37" ht="12.75">
      <c r="AJ204" s="3"/>
      <c r="AK204" s="3"/>
    </row>
    <row r="205" spans="36:37" ht="12.75">
      <c r="AJ205" s="3"/>
      <c r="AK205" s="3"/>
    </row>
    <row r="206" spans="36:37" ht="12.75">
      <c r="AJ206" s="3"/>
      <c r="AK206" s="3"/>
    </row>
    <row r="207" spans="36:37" ht="12.75">
      <c r="AJ207" s="3"/>
      <c r="AK207" s="3"/>
    </row>
    <row r="208" spans="36:37" ht="12.75">
      <c r="AJ208" s="3"/>
      <c r="AK208" s="3"/>
    </row>
    <row r="209" spans="36:37" ht="12.75">
      <c r="AJ209" s="3"/>
      <c r="AK209" s="3"/>
    </row>
    <row r="210" spans="36:37" ht="12.75">
      <c r="AJ210" s="3"/>
      <c r="AK210" s="3"/>
    </row>
    <row r="211" spans="36:37" ht="12.75">
      <c r="AJ211" s="3"/>
      <c r="AK211" s="3"/>
    </row>
    <row r="212" spans="36:37" ht="12.75">
      <c r="AJ212" s="3"/>
      <c r="AK212" s="3"/>
    </row>
    <row r="213" spans="36:37" ht="12.75">
      <c r="AJ213" s="3"/>
      <c r="AK213" s="3"/>
    </row>
    <row r="214" spans="36:37" ht="12.75">
      <c r="AJ214" s="3"/>
      <c r="AK214" s="3"/>
    </row>
    <row r="215" spans="36:37" ht="12.75">
      <c r="AJ215" s="3"/>
      <c r="AK215" s="3"/>
    </row>
    <row r="216" spans="36:37" ht="12.75">
      <c r="AJ216" s="3"/>
      <c r="AK216" s="3"/>
    </row>
    <row r="217" spans="36:37" ht="12.75">
      <c r="AJ217" s="3"/>
      <c r="AK217" s="3"/>
    </row>
    <row r="218" spans="36:37" ht="12.75">
      <c r="AJ218" s="3"/>
      <c r="AK218" s="3"/>
    </row>
    <row r="219" spans="36:37" ht="12.75">
      <c r="AJ219" s="3"/>
      <c r="AK219" s="3"/>
    </row>
    <row r="220" spans="36:37" ht="12.75">
      <c r="AJ220" s="3"/>
      <c r="AK220" s="3"/>
    </row>
    <row r="221" spans="36:37" ht="12.75">
      <c r="AJ221" s="3"/>
      <c r="AK221" s="3"/>
    </row>
    <row r="222" spans="36:37" ht="12.75">
      <c r="AJ222" s="3"/>
      <c r="AK222" s="3"/>
    </row>
    <row r="223" spans="36:37" ht="12.75">
      <c r="AJ223" s="3"/>
      <c r="AK223" s="3"/>
    </row>
    <row r="224" spans="36:37" ht="12.75">
      <c r="AJ224" s="3"/>
      <c r="AK224" s="3"/>
    </row>
    <row r="225" spans="36:37" ht="12.75">
      <c r="AJ225" s="3"/>
      <c r="AK225" s="3"/>
    </row>
    <row r="226" spans="36:37" ht="12.75">
      <c r="AJ226" s="3"/>
      <c r="AK226" s="3"/>
    </row>
    <row r="227" spans="36:37" ht="12.75">
      <c r="AJ227" s="3"/>
      <c r="AK227" s="3"/>
    </row>
    <row r="228" spans="36:37" ht="12.75">
      <c r="AJ228" s="3"/>
      <c r="AK228" s="3"/>
    </row>
    <row r="229" spans="36:37" ht="12.75">
      <c r="AJ229" s="3"/>
      <c r="AK229" s="3"/>
    </row>
    <row r="230" spans="36:37" ht="12.75">
      <c r="AJ230" s="3"/>
      <c r="AK230" s="3"/>
    </row>
    <row r="231" spans="36:37" ht="12.75">
      <c r="AJ231" s="3"/>
      <c r="AK231" s="3"/>
    </row>
    <row r="232" spans="36:37" ht="12.75">
      <c r="AJ232" s="3"/>
      <c r="AK232" s="3"/>
    </row>
    <row r="233" spans="36:37" ht="12.75">
      <c r="AJ233" s="3"/>
      <c r="AK233" s="3"/>
    </row>
    <row r="234" spans="36:37" ht="12.75">
      <c r="AJ234" s="3"/>
      <c r="AK234" s="3"/>
    </row>
    <row r="235" spans="36:37" ht="12.75">
      <c r="AJ235" s="3"/>
      <c r="AK235" s="3"/>
    </row>
    <row r="236" spans="36:37" ht="12.75">
      <c r="AJ236" s="3"/>
      <c r="AK236" s="3"/>
    </row>
    <row r="237" spans="36:37" ht="12.75">
      <c r="AJ237" s="3"/>
      <c r="AK237" s="3"/>
    </row>
    <row r="238" spans="36:37" ht="12.75">
      <c r="AJ238" s="3"/>
      <c r="AK238" s="3"/>
    </row>
    <row r="239" spans="36:37" ht="12.75">
      <c r="AJ239" s="3"/>
      <c r="AK239" s="3"/>
    </row>
    <row r="240" spans="36:37" ht="12.75">
      <c r="AJ240" s="3"/>
      <c r="AK240" s="3"/>
    </row>
    <row r="241" spans="36:37" ht="12.75">
      <c r="AJ241" s="3"/>
      <c r="AK241" s="3"/>
    </row>
    <row r="242" spans="36:37" ht="12.75">
      <c r="AJ242" s="3"/>
      <c r="AK242" s="3"/>
    </row>
    <row r="243" spans="36:37" ht="12.75">
      <c r="AJ243" s="3"/>
      <c r="AK243" s="3"/>
    </row>
    <row r="244" spans="36:37" ht="12.75">
      <c r="AJ244" s="3"/>
      <c r="AK244" s="3"/>
    </row>
    <row r="245" spans="36:37" ht="12.75">
      <c r="AJ245" s="3"/>
      <c r="AK245" s="3"/>
    </row>
    <row r="246" spans="36:37" ht="12.75">
      <c r="AJ246" s="3"/>
      <c r="AK246" s="3"/>
    </row>
    <row r="247" spans="36:37" ht="12.75">
      <c r="AJ247" s="3"/>
      <c r="AK247" s="3"/>
    </row>
    <row r="248" spans="36:37" ht="12.75">
      <c r="AJ248" s="3"/>
      <c r="AK248" s="3"/>
    </row>
    <row r="249" spans="36:37" ht="12.75">
      <c r="AJ249" s="3"/>
      <c r="AK249" s="3"/>
    </row>
    <row r="250" spans="36:37" ht="12.75">
      <c r="AJ250" s="3"/>
      <c r="AK250" s="3"/>
    </row>
    <row r="251" spans="36:37" ht="12.75">
      <c r="AJ251" s="3"/>
      <c r="AK251" s="3"/>
    </row>
    <row r="252" spans="36:37" ht="12.75">
      <c r="AJ252" s="3"/>
      <c r="AK252" s="3"/>
    </row>
    <row r="253" spans="36:37" ht="12.75">
      <c r="AJ253" s="3"/>
      <c r="AK253" s="3"/>
    </row>
    <row r="254" spans="36:37" ht="12.75">
      <c r="AJ254" s="3"/>
      <c r="AK254" s="3"/>
    </row>
    <row r="255" spans="36:37" ht="12.75">
      <c r="AJ255" s="3"/>
      <c r="AK255" s="3"/>
    </row>
    <row r="256" spans="36:37" ht="12.75">
      <c r="AJ256" s="3"/>
      <c r="AK256" s="3"/>
    </row>
    <row r="257" spans="36:37" ht="12.75">
      <c r="AJ257" s="3"/>
      <c r="AK257" s="3"/>
    </row>
    <row r="258" spans="36:37" ht="12.75">
      <c r="AJ258" s="3"/>
      <c r="AK258" s="3"/>
    </row>
    <row r="259" spans="36:37" ht="12.75">
      <c r="AJ259" s="3"/>
      <c r="AK259" s="3"/>
    </row>
    <row r="260" spans="36:37" ht="12.75">
      <c r="AJ260" s="3"/>
      <c r="AK260" s="3"/>
    </row>
    <row r="261" spans="36:37" ht="12.75">
      <c r="AJ261" s="3"/>
      <c r="AK261" s="3"/>
    </row>
    <row r="262" spans="36:37" ht="12.75">
      <c r="AJ262" s="3"/>
      <c r="AK262" s="3"/>
    </row>
    <row r="263" spans="36:37" ht="12.75">
      <c r="AJ263" s="3"/>
      <c r="AK263" s="3"/>
    </row>
    <row r="264" spans="36:37" ht="12.75">
      <c r="AJ264" s="3"/>
      <c r="AK264" s="3"/>
    </row>
    <row r="265" spans="36:37" ht="12.75">
      <c r="AJ265" s="3"/>
      <c r="AK265" s="3"/>
    </row>
    <row r="266" spans="36:37" ht="12.75">
      <c r="AJ266" s="3"/>
      <c r="AK266" s="3"/>
    </row>
    <row r="267" spans="36:37" ht="12.75">
      <c r="AJ267" s="3"/>
      <c r="AK267" s="3"/>
    </row>
    <row r="268" spans="36:37" ht="12.75">
      <c r="AJ268" s="3"/>
      <c r="AK268" s="3"/>
    </row>
    <row r="269" spans="36:37" ht="12.75">
      <c r="AJ269" s="3"/>
      <c r="AK269" s="3"/>
    </row>
    <row r="270" spans="36:37" ht="12.75">
      <c r="AJ270" s="3"/>
      <c r="AK270" s="3"/>
    </row>
    <row r="271" spans="36:37" ht="12.75">
      <c r="AJ271" s="3"/>
      <c r="AK271" s="3"/>
    </row>
    <row r="272" spans="36:37" ht="12.75">
      <c r="AJ272" s="3"/>
      <c r="AK272" s="3"/>
    </row>
    <row r="273" spans="36:37" ht="12.75">
      <c r="AJ273" s="3"/>
      <c r="AK273" s="3"/>
    </row>
    <row r="274" spans="36:37" ht="12.75">
      <c r="AJ274" s="3"/>
      <c r="AK274" s="3"/>
    </row>
    <row r="275" spans="36:37" ht="12.75">
      <c r="AJ275" s="3"/>
      <c r="AK275" s="3"/>
    </row>
    <row r="276" spans="36:37" ht="12.75">
      <c r="AJ276" s="3"/>
      <c r="AK276" s="3"/>
    </row>
    <row r="277" spans="36:37" ht="12.75">
      <c r="AJ277" s="3"/>
      <c r="AK277" s="3"/>
    </row>
    <row r="278" spans="36:37" ht="12.75">
      <c r="AJ278" s="3"/>
      <c r="AK278" s="3"/>
    </row>
    <row r="279" spans="36:37" ht="12.75">
      <c r="AJ279" s="3"/>
      <c r="AK279" s="3"/>
    </row>
    <row r="280" spans="36:37" ht="12.75">
      <c r="AJ280" s="3"/>
      <c r="AK280" s="3"/>
    </row>
    <row r="281" spans="36:37" ht="12.75">
      <c r="AJ281" s="3"/>
      <c r="AK281" s="3"/>
    </row>
    <row r="282" spans="36:37" ht="12.75">
      <c r="AJ282" s="3"/>
      <c r="AK282" s="3"/>
    </row>
    <row r="283" spans="36:37" ht="12.75">
      <c r="AJ283" s="3"/>
      <c r="AK283" s="3"/>
    </row>
    <row r="284" spans="36:37" ht="12.75">
      <c r="AJ284" s="3"/>
      <c r="AK284" s="3"/>
    </row>
    <row r="285" spans="36:37" ht="12.75">
      <c r="AJ285" s="3"/>
      <c r="AK285" s="3"/>
    </row>
    <row r="286" spans="36:37" ht="12.75">
      <c r="AJ286" s="3"/>
      <c r="AK286" s="3"/>
    </row>
    <row r="287" spans="36:37" ht="12.75">
      <c r="AJ287" s="3"/>
      <c r="AK287" s="3"/>
    </row>
    <row r="288" spans="36:37" ht="12.75">
      <c r="AJ288" s="3"/>
      <c r="AK288" s="3"/>
    </row>
    <row r="289" spans="36:37" ht="12.75">
      <c r="AJ289" s="3"/>
      <c r="AK289" s="3"/>
    </row>
    <row r="290" spans="36:37" ht="12.75">
      <c r="AJ290" s="3"/>
      <c r="AK290" s="3"/>
    </row>
    <row r="291" spans="36:37" ht="12.75">
      <c r="AJ291" s="3"/>
      <c r="AK291" s="3"/>
    </row>
    <row r="292" spans="36:37" ht="12.75">
      <c r="AJ292" s="3"/>
      <c r="AK292" s="3"/>
    </row>
    <row r="293" spans="36:37" ht="12.75">
      <c r="AJ293" s="3"/>
      <c r="AK293" s="3"/>
    </row>
    <row r="294" spans="36:37" ht="12.75">
      <c r="AJ294" s="3"/>
      <c r="AK294" s="3"/>
    </row>
    <row r="295" spans="36:37" ht="12.75">
      <c r="AJ295" s="3"/>
      <c r="AK295" s="3"/>
    </row>
    <row r="296" spans="36:37" ht="12.75">
      <c r="AJ296" s="3"/>
      <c r="AK296" s="3"/>
    </row>
    <row r="297" spans="36:37" ht="12.75">
      <c r="AJ297" s="3"/>
      <c r="AK297" s="3"/>
    </row>
    <row r="298" spans="36:37" ht="12.75">
      <c r="AJ298" s="3"/>
      <c r="AK298" s="3"/>
    </row>
    <row r="299" spans="36:37" ht="12.75">
      <c r="AJ299" s="3"/>
      <c r="AK299" s="3"/>
    </row>
    <row r="300" spans="36:37" ht="12.75">
      <c r="AJ300" s="3"/>
      <c r="AK300" s="3"/>
    </row>
    <row r="301" spans="36:37" ht="12.75">
      <c r="AJ301" s="3"/>
      <c r="AK301" s="3"/>
    </row>
    <row r="302" spans="36:37" ht="12.75">
      <c r="AJ302" s="3"/>
      <c r="AK302" s="3"/>
    </row>
    <row r="303" spans="36:37" ht="12.75">
      <c r="AJ303" s="3"/>
      <c r="AK303" s="3"/>
    </row>
    <row r="304" spans="36:37" ht="12.75">
      <c r="AJ304" s="3"/>
      <c r="AK304" s="3"/>
    </row>
    <row r="305" spans="36:37" ht="12.75">
      <c r="AJ305" s="3"/>
      <c r="AK305" s="3"/>
    </row>
    <row r="306" spans="36:37" ht="12.75">
      <c r="AJ306" s="3"/>
      <c r="AK306" s="3"/>
    </row>
    <row r="307" spans="36:37" ht="12.75">
      <c r="AJ307" s="3"/>
      <c r="AK307" s="3"/>
    </row>
    <row r="308" spans="36:37" ht="12.75">
      <c r="AJ308" s="3"/>
      <c r="AK308" s="3"/>
    </row>
    <row r="309" spans="36:37" ht="12.75">
      <c r="AJ309" s="3"/>
      <c r="AK309" s="3"/>
    </row>
    <row r="310" spans="36:37" ht="12.75">
      <c r="AJ310" s="3"/>
      <c r="AK310" s="3"/>
    </row>
    <row r="311" spans="36:37" ht="12.75">
      <c r="AJ311" s="3"/>
      <c r="AK311" s="3"/>
    </row>
    <row r="312" spans="36:37" ht="12.75">
      <c r="AJ312" s="3"/>
      <c r="AK312" s="3"/>
    </row>
    <row r="313" spans="36:37" ht="12.75">
      <c r="AJ313" s="3"/>
      <c r="AK313" s="3"/>
    </row>
    <row r="314" spans="36:37" ht="12.75">
      <c r="AJ314" s="3"/>
      <c r="AK314" s="3"/>
    </row>
    <row r="315" spans="36:37" ht="12.75">
      <c r="AJ315" s="3"/>
      <c r="AK315" s="3"/>
    </row>
    <row r="316" spans="36:37" ht="12.75">
      <c r="AJ316" s="3"/>
      <c r="AK316" s="3"/>
    </row>
    <row r="317" spans="36:37" ht="12.75">
      <c r="AJ317" s="3"/>
      <c r="AK317" s="3"/>
    </row>
    <row r="318" spans="36:37" ht="12.75">
      <c r="AJ318" s="3"/>
      <c r="AK318" s="3"/>
    </row>
    <row r="319" spans="36:37" ht="12.75">
      <c r="AJ319" s="3"/>
      <c r="AK319" s="3"/>
    </row>
    <row r="320" spans="36:37" ht="12.75">
      <c r="AJ320" s="3"/>
      <c r="AK320" s="3"/>
    </row>
    <row r="321" spans="36:37" ht="12.75">
      <c r="AJ321" s="3"/>
      <c r="AK321" s="3"/>
    </row>
    <row r="322" spans="36:37" ht="12.75">
      <c r="AJ322" s="3"/>
      <c r="AK322" s="3"/>
    </row>
    <row r="323" spans="36:37" ht="12.75">
      <c r="AJ323" s="3"/>
      <c r="AK323" s="3"/>
    </row>
    <row r="324" spans="36:37" ht="12.75">
      <c r="AJ324" s="3"/>
      <c r="AK324" s="3"/>
    </row>
    <row r="325" spans="36:37" ht="12.75">
      <c r="AJ325" s="3"/>
      <c r="AK325" s="3"/>
    </row>
    <row r="326" spans="36:37" ht="12.75">
      <c r="AJ326" s="3"/>
      <c r="AK326" s="3"/>
    </row>
    <row r="327" spans="36:37" ht="12.75">
      <c r="AJ327" s="3"/>
      <c r="AK327" s="3"/>
    </row>
    <row r="328" spans="36:37" ht="12.75">
      <c r="AJ328" s="3"/>
      <c r="AK328" s="3"/>
    </row>
    <row r="329" spans="36:37" ht="12.75">
      <c r="AJ329" s="3"/>
      <c r="AK329" s="3"/>
    </row>
    <row r="330" spans="36:37" ht="12.75">
      <c r="AJ330" s="3"/>
      <c r="AK330" s="3"/>
    </row>
    <row r="331" spans="36:37" ht="12.75">
      <c r="AJ331" s="3"/>
      <c r="AK331" s="3"/>
    </row>
    <row r="332" spans="36:37" ht="12.75">
      <c r="AJ332" s="3"/>
      <c r="AK332" s="3"/>
    </row>
    <row r="333" spans="36:37" ht="12.75">
      <c r="AJ333" s="3"/>
      <c r="AK333" s="3"/>
    </row>
    <row r="334" spans="36:37" ht="12.75">
      <c r="AJ334" s="3"/>
      <c r="AK334" s="3"/>
    </row>
    <row r="335" spans="36:37" ht="12.75">
      <c r="AJ335" s="3"/>
      <c r="AK335" s="3"/>
    </row>
    <row r="336" spans="36:37" ht="12.75">
      <c r="AJ336" s="3"/>
      <c r="AK336" s="3"/>
    </row>
    <row r="337" spans="36:37" ht="12.75">
      <c r="AJ337" s="3"/>
      <c r="AK337" s="3"/>
    </row>
    <row r="338" spans="36:37" ht="12.75">
      <c r="AJ338" s="3"/>
      <c r="AK338" s="3"/>
    </row>
    <row r="339" spans="36:37" ht="12.75">
      <c r="AJ339" s="3"/>
      <c r="AK339" s="3"/>
    </row>
    <row r="340" spans="36:37" ht="12.75">
      <c r="AJ340" s="3"/>
      <c r="AK340" s="3"/>
    </row>
    <row r="341" spans="36:37" ht="12.75">
      <c r="AJ341" s="3"/>
      <c r="AK341" s="3"/>
    </row>
    <row r="342" spans="36:37" ht="12.75">
      <c r="AJ342" s="3"/>
      <c r="AK342" s="3"/>
    </row>
    <row r="343" spans="36:37" ht="12.75">
      <c r="AJ343" s="3"/>
      <c r="AK343" s="3"/>
    </row>
    <row r="344" spans="36:37" ht="12.75">
      <c r="AJ344" s="3"/>
      <c r="AK344" s="3"/>
    </row>
    <row r="345" spans="36:37" ht="12.75">
      <c r="AJ345" s="3"/>
      <c r="AK345" s="3"/>
    </row>
    <row r="346" spans="36:37" ht="12.75">
      <c r="AJ346" s="3"/>
      <c r="AK346" s="3"/>
    </row>
    <row r="347" spans="36:37" ht="12.75">
      <c r="AJ347" s="3"/>
      <c r="AK347" s="3"/>
    </row>
    <row r="348" spans="36:37" ht="12.75">
      <c r="AJ348" s="3"/>
      <c r="AK348" s="3"/>
    </row>
    <row r="349" spans="36:37" ht="12.75">
      <c r="AJ349" s="3"/>
      <c r="AK349" s="3"/>
    </row>
    <row r="350" spans="36:37" ht="12.75">
      <c r="AJ350" s="3"/>
      <c r="AK350" s="3"/>
    </row>
    <row r="351" spans="36:37" ht="12.75">
      <c r="AJ351" s="3"/>
      <c r="AK351" s="3"/>
    </row>
    <row r="352" spans="36:37" ht="12.75">
      <c r="AJ352" s="3"/>
      <c r="AK352" s="3"/>
    </row>
    <row r="353" spans="36:37" ht="12.75">
      <c r="AJ353" s="3"/>
      <c r="AK353" s="3"/>
    </row>
    <row r="354" spans="36:37" ht="12.75">
      <c r="AJ354" s="3"/>
      <c r="AK354" s="3"/>
    </row>
    <row r="355" spans="36:37" ht="12.75">
      <c r="AJ355" s="3"/>
      <c r="AK355" s="3"/>
    </row>
    <row r="356" spans="36:37" ht="12.75">
      <c r="AJ356" s="3"/>
      <c r="AK356" s="3"/>
    </row>
    <row r="357" spans="36:37" ht="12.75">
      <c r="AJ357" s="3"/>
      <c r="AK357" s="3"/>
    </row>
    <row r="358" spans="36:37" ht="12.75">
      <c r="AJ358" s="3"/>
      <c r="AK358" s="3"/>
    </row>
    <row r="359" spans="36:37" ht="12.75">
      <c r="AJ359" s="3"/>
      <c r="AK359" s="3"/>
    </row>
    <row r="360" spans="36:37" ht="12.75">
      <c r="AJ360" s="3"/>
      <c r="AK360" s="3"/>
    </row>
    <row r="361" spans="36:37" ht="12.75">
      <c r="AJ361" s="3"/>
      <c r="AK361" s="3"/>
    </row>
    <row r="362" spans="36:37" ht="12.75">
      <c r="AJ362" s="3"/>
      <c r="AK362" s="3"/>
    </row>
    <row r="363" spans="36:37" ht="12.75">
      <c r="AJ363" s="3"/>
      <c r="AK363" s="3"/>
    </row>
    <row r="364" spans="36:37" ht="12.75">
      <c r="AJ364" s="3"/>
      <c r="AK364" s="3"/>
    </row>
    <row r="365" spans="36:37" ht="12.75">
      <c r="AJ365" s="3"/>
      <c r="AK365" s="3"/>
    </row>
    <row r="366" spans="36:37" ht="12.75">
      <c r="AJ366" s="3"/>
      <c r="AK366" s="3"/>
    </row>
    <row r="367" spans="36:37" ht="12.75">
      <c r="AJ367" s="3"/>
      <c r="AK367" s="3"/>
    </row>
    <row r="368" spans="36:37" ht="12.75">
      <c r="AJ368" s="3"/>
      <c r="AK368" s="3"/>
    </row>
    <row r="369" spans="36:37" ht="12.75">
      <c r="AJ369" s="3"/>
      <c r="AK369" s="3"/>
    </row>
    <row r="370" spans="36:37" ht="12.75">
      <c r="AJ370" s="3"/>
      <c r="AK370" s="3"/>
    </row>
    <row r="371" spans="36:37" ht="12.75">
      <c r="AJ371" s="3"/>
      <c r="AK371" s="3"/>
    </row>
    <row r="372" spans="36:37" ht="12.75">
      <c r="AJ372" s="3"/>
      <c r="AK372" s="3"/>
    </row>
    <row r="373" spans="36:37" ht="12.75">
      <c r="AJ373" s="3"/>
      <c r="AK373" s="3"/>
    </row>
    <row r="374" spans="36:37" ht="12.75">
      <c r="AJ374" s="3"/>
      <c r="AK374" s="3"/>
    </row>
    <row r="375" spans="36:37" ht="12.75">
      <c r="AJ375" s="3"/>
      <c r="AK375" s="3"/>
    </row>
    <row r="376" spans="36:37" ht="12.75">
      <c r="AJ376" s="3"/>
      <c r="AK376" s="3"/>
    </row>
    <row r="377" spans="36:37" ht="12.75">
      <c r="AJ377" s="3"/>
      <c r="AK377" s="3"/>
    </row>
    <row r="378" spans="36:37" ht="12.75">
      <c r="AJ378" s="3"/>
      <c r="AK378" s="3"/>
    </row>
    <row r="379" spans="36:37" ht="12.75">
      <c r="AJ379" s="3"/>
      <c r="AK379" s="3"/>
    </row>
    <row r="380" spans="36:37" ht="12.75">
      <c r="AJ380" s="3"/>
      <c r="AK380" s="3"/>
    </row>
    <row r="381" spans="36:37" ht="12.75">
      <c r="AJ381" s="3"/>
      <c r="AK381" s="3"/>
    </row>
    <row r="382" spans="36:37" ht="12.75">
      <c r="AJ382" s="3"/>
      <c r="AK382" s="3"/>
    </row>
    <row r="383" spans="36:37" ht="12.75">
      <c r="AJ383" s="3"/>
      <c r="AK383" s="3"/>
    </row>
    <row r="384" spans="36:37" ht="12.75">
      <c r="AJ384" s="3"/>
      <c r="AK384" s="3"/>
    </row>
    <row r="385" spans="36:37" ht="12.75">
      <c r="AJ385" s="3"/>
      <c r="AK385" s="3"/>
    </row>
    <row r="386" spans="36:37" ht="12.75">
      <c r="AJ386" s="3"/>
      <c r="AK386" s="3"/>
    </row>
    <row r="387" spans="36:37" ht="12.75">
      <c r="AJ387" s="3"/>
      <c r="AK387" s="3"/>
    </row>
    <row r="388" spans="36:37" ht="12.75">
      <c r="AJ388" s="3"/>
      <c r="AK388" s="3"/>
    </row>
    <row r="389" spans="36:37" ht="12.75">
      <c r="AJ389" s="3"/>
      <c r="AK389" s="3"/>
    </row>
    <row r="390" spans="36:37" ht="12.75">
      <c r="AJ390" s="3"/>
      <c r="AK390" s="3"/>
    </row>
    <row r="391" spans="36:37" ht="12.75">
      <c r="AJ391" s="3"/>
      <c r="AK391" s="3"/>
    </row>
    <row r="392" spans="36:37" ht="12.75">
      <c r="AJ392" s="3"/>
      <c r="AK392" s="3"/>
    </row>
    <row r="393" spans="36:37" ht="12.75">
      <c r="AJ393" s="3"/>
      <c r="AK393" s="3"/>
    </row>
    <row r="394" spans="36:37" ht="12.75">
      <c r="AJ394" s="3"/>
      <c r="AK394" s="3"/>
    </row>
    <row r="395" spans="36:37" ht="12.75">
      <c r="AJ395" s="3"/>
      <c r="AK395" s="3"/>
    </row>
    <row r="396" spans="36:37" ht="12.75">
      <c r="AJ396" s="3"/>
      <c r="AK396" s="3"/>
    </row>
    <row r="397" spans="36:37" ht="12.75">
      <c r="AJ397" s="3"/>
      <c r="AK397" s="3"/>
    </row>
    <row r="398" spans="36:37" ht="12.75">
      <c r="AJ398" s="3"/>
      <c r="AK398" s="3"/>
    </row>
    <row r="399" spans="36:37" ht="12.75">
      <c r="AJ399" s="3"/>
      <c r="AK399" s="3"/>
    </row>
    <row r="400" spans="36:37" ht="12.75">
      <c r="AJ400" s="3"/>
      <c r="AK400" s="3"/>
    </row>
    <row r="401" spans="36:37" ht="12.75">
      <c r="AJ401" s="3"/>
      <c r="AK401" s="3"/>
    </row>
    <row r="402" spans="36:37" ht="12.75">
      <c r="AJ402" s="3"/>
      <c r="AK402" s="3"/>
    </row>
    <row r="403" spans="36:37" ht="12.75">
      <c r="AJ403" s="3"/>
      <c r="AK403" s="3"/>
    </row>
    <row r="404" spans="36:37" ht="12.75">
      <c r="AJ404" s="3"/>
      <c r="AK404" s="3"/>
    </row>
    <row r="405" spans="36:37" ht="12.75">
      <c r="AJ405" s="3"/>
      <c r="AK405" s="3"/>
    </row>
    <row r="406" spans="36:37" ht="12.75">
      <c r="AJ406" s="3"/>
      <c r="AK406" s="3"/>
    </row>
    <row r="407" spans="36:37" ht="12.75">
      <c r="AJ407" s="3"/>
      <c r="AK407" s="3"/>
    </row>
    <row r="408" spans="36:37" ht="12.75">
      <c r="AJ408" s="3"/>
      <c r="AK408" s="3"/>
    </row>
    <row r="409" spans="36:37" ht="12.75">
      <c r="AJ409" s="3"/>
      <c r="AK409" s="3"/>
    </row>
    <row r="410" spans="36:37" ht="12.75">
      <c r="AJ410" s="3"/>
      <c r="AK410" s="3"/>
    </row>
    <row r="411" spans="36:37" ht="12.75">
      <c r="AJ411" s="3"/>
      <c r="AK411" s="3"/>
    </row>
    <row r="412" spans="36:37" ht="12.75">
      <c r="AJ412" s="3"/>
      <c r="AK412" s="3"/>
    </row>
    <row r="413" spans="36:37" ht="12.75">
      <c r="AJ413" s="3"/>
      <c r="AK413" s="3"/>
    </row>
    <row r="414" spans="36:37" ht="12.75">
      <c r="AJ414" s="3"/>
      <c r="AK414" s="3"/>
    </row>
    <row r="415" spans="36:37" ht="12.75">
      <c r="AJ415" s="3"/>
      <c r="AK415" s="3"/>
    </row>
    <row r="416" spans="36:37" ht="12.75">
      <c r="AJ416" s="3"/>
      <c r="AK416" s="3"/>
    </row>
    <row r="417" spans="36:37" ht="12.75">
      <c r="AJ417" s="3"/>
      <c r="AK417" s="3"/>
    </row>
    <row r="418" spans="36:37" ht="12.75">
      <c r="AJ418" s="3"/>
      <c r="AK418" s="3"/>
    </row>
    <row r="419" spans="36:37" ht="12.75">
      <c r="AJ419" s="3"/>
      <c r="AK419" s="3"/>
    </row>
    <row r="420" spans="36:37" ht="12.75">
      <c r="AJ420" s="3"/>
      <c r="AK420" s="3"/>
    </row>
    <row r="421" spans="36:37" ht="12.75">
      <c r="AJ421" s="3"/>
      <c r="AK421" s="3"/>
    </row>
    <row r="422" spans="36:37" ht="12.75">
      <c r="AJ422" s="3"/>
      <c r="AK422" s="3"/>
    </row>
    <row r="423" spans="36:37" ht="12.75">
      <c r="AJ423" s="3"/>
      <c r="AK423" s="3"/>
    </row>
    <row r="424" spans="36:37" ht="12.75">
      <c r="AJ424" s="3"/>
      <c r="AK424" s="3"/>
    </row>
    <row r="425" spans="36:37" ht="12.75">
      <c r="AJ425" s="3"/>
      <c r="AK425" s="3"/>
    </row>
    <row r="426" spans="36:37" ht="12.75">
      <c r="AJ426" s="3"/>
      <c r="AK426" s="3"/>
    </row>
    <row r="427" spans="36:37" ht="12.75">
      <c r="AJ427" s="3"/>
      <c r="AK427" s="3"/>
    </row>
    <row r="428" spans="36:37" ht="12.75">
      <c r="AJ428" s="3"/>
      <c r="AK428" s="3"/>
    </row>
    <row r="429" spans="36:37" ht="12.75">
      <c r="AJ429" s="3"/>
      <c r="AK429" s="3"/>
    </row>
    <row r="430" spans="36:37" ht="12.75">
      <c r="AJ430" s="3"/>
      <c r="AK430" s="3"/>
    </row>
    <row r="431" spans="36:37" ht="12.75">
      <c r="AJ431" s="3"/>
      <c r="AK431" s="3"/>
    </row>
    <row r="432" spans="36:37" ht="12.75">
      <c r="AJ432" s="3"/>
      <c r="AK432" s="3"/>
    </row>
    <row r="433" spans="36:37" ht="12.75">
      <c r="AJ433" s="3"/>
      <c r="AK433" s="3"/>
    </row>
    <row r="434" spans="36:37" ht="12.75">
      <c r="AJ434" s="3"/>
      <c r="AK434" s="3"/>
    </row>
    <row r="435" spans="36:37" ht="12.75">
      <c r="AJ435" s="3"/>
      <c r="AK435" s="3"/>
    </row>
    <row r="436" spans="36:37" ht="12.75">
      <c r="AJ436" s="3"/>
      <c r="AK436" s="3"/>
    </row>
    <row r="437" spans="36:37" ht="12.75">
      <c r="AJ437" s="3"/>
      <c r="AK437" s="3"/>
    </row>
    <row r="438" spans="36:37" ht="12.75">
      <c r="AJ438" s="3"/>
      <c r="AK438" s="3"/>
    </row>
    <row r="439" spans="36:37" ht="12.75">
      <c r="AJ439" s="3"/>
      <c r="AK439" s="3"/>
    </row>
    <row r="440" spans="36:37" ht="12.75">
      <c r="AJ440" s="3"/>
      <c r="AK440" s="3"/>
    </row>
    <row r="441" spans="36:37" ht="12.75">
      <c r="AJ441" s="3"/>
      <c r="AK441" s="3"/>
    </row>
    <row r="442" spans="36:37" ht="12.75">
      <c r="AJ442" s="3"/>
      <c r="AK442" s="3"/>
    </row>
    <row r="443" spans="36:37" ht="12.75">
      <c r="AJ443" s="3"/>
      <c r="AK443" s="3"/>
    </row>
    <row r="444" spans="36:37" ht="12.75">
      <c r="AJ444" s="3"/>
      <c r="AK444" s="3"/>
    </row>
    <row r="445" spans="36:37" ht="12.75">
      <c r="AJ445" s="3"/>
      <c r="AK445" s="3"/>
    </row>
    <row r="446" spans="36:37" ht="12.75">
      <c r="AJ446" s="3"/>
      <c r="AK446" s="3"/>
    </row>
    <row r="447" spans="36:37" ht="12.75">
      <c r="AJ447" s="3"/>
      <c r="AK447" s="3"/>
    </row>
    <row r="448" spans="36:37" ht="12.75">
      <c r="AJ448" s="3"/>
      <c r="AK448" s="3"/>
    </row>
    <row r="449" spans="36:37" ht="12.75">
      <c r="AJ449" s="3"/>
      <c r="AK449" s="3"/>
    </row>
    <row r="450" spans="36:37" ht="12.75">
      <c r="AJ450" s="3"/>
      <c r="AK450" s="3"/>
    </row>
    <row r="451" spans="36:37" ht="12.75">
      <c r="AJ451" s="3"/>
      <c r="AK451" s="3"/>
    </row>
    <row r="452" spans="36:37" ht="12.75">
      <c r="AJ452" s="3"/>
      <c r="AK452" s="3"/>
    </row>
    <row r="453" spans="36:37" ht="12.75">
      <c r="AJ453" s="3"/>
      <c r="AK453" s="3"/>
    </row>
    <row r="454" spans="36:37" ht="12.75">
      <c r="AJ454" s="3"/>
      <c r="AK454" s="3"/>
    </row>
    <row r="455" spans="36:37" ht="12.75">
      <c r="AJ455" s="3"/>
      <c r="AK455" s="3"/>
    </row>
    <row r="456" spans="36:37" ht="12.75">
      <c r="AJ456" s="3"/>
      <c r="AK456" s="3"/>
    </row>
    <row r="457" spans="36:37" ht="12.75">
      <c r="AJ457" s="3"/>
      <c r="AK457" s="3"/>
    </row>
    <row r="458" spans="36:37" ht="12.75">
      <c r="AJ458" s="3"/>
      <c r="AK458" s="3"/>
    </row>
    <row r="459" spans="36:37" ht="12.75">
      <c r="AJ459" s="3"/>
      <c r="AK459" s="3"/>
    </row>
    <row r="460" spans="36:37" ht="12.75">
      <c r="AJ460" s="3"/>
      <c r="AK460" s="3"/>
    </row>
    <row r="461" spans="36:37" ht="12.75">
      <c r="AJ461" s="3"/>
      <c r="AK461" s="3"/>
    </row>
    <row r="462" spans="36:37" ht="12.75">
      <c r="AJ462" s="3"/>
      <c r="AK462" s="3"/>
    </row>
    <row r="463" spans="36:37" ht="12.75">
      <c r="AJ463" s="3"/>
      <c r="AK463" s="3"/>
    </row>
    <row r="464" spans="36:37" ht="12.75">
      <c r="AJ464" s="3"/>
      <c r="AK464" s="3"/>
    </row>
    <row r="465" spans="36:37" ht="12.75">
      <c r="AJ465" s="3"/>
      <c r="AK465" s="3"/>
    </row>
    <row r="466" spans="36:37" ht="12.75">
      <c r="AJ466" s="3"/>
      <c r="AK466" s="3"/>
    </row>
    <row r="467" spans="36:37" ht="12.75">
      <c r="AJ467" s="3"/>
      <c r="AK467" s="3"/>
    </row>
    <row r="468" spans="36:37" ht="12.75">
      <c r="AJ468" s="3"/>
      <c r="AK468" s="3"/>
    </row>
    <row r="469" spans="36:37" ht="12.75">
      <c r="AJ469" s="3"/>
      <c r="AK469" s="3"/>
    </row>
    <row r="470" spans="36:37" ht="12.75">
      <c r="AJ470" s="3"/>
      <c r="AK470" s="3"/>
    </row>
    <row r="471" spans="36:37" ht="12.75">
      <c r="AJ471" s="3"/>
      <c r="AK471" s="3"/>
    </row>
    <row r="472" spans="36:37" ht="12.75">
      <c r="AJ472" s="3"/>
      <c r="AK472" s="3"/>
    </row>
    <row r="473" spans="36:37" ht="12.75">
      <c r="AJ473" s="3"/>
      <c r="AK473" s="3"/>
    </row>
    <row r="474" spans="36:37" ht="12.75">
      <c r="AJ474" s="3"/>
      <c r="AK474" s="3"/>
    </row>
    <row r="475" spans="36:37" ht="12.75">
      <c r="AJ475" s="3"/>
      <c r="AK475" s="3"/>
    </row>
    <row r="476" spans="36:37" ht="12.75">
      <c r="AJ476" s="3"/>
      <c r="AK476" s="3"/>
    </row>
    <row r="477" spans="36:37" ht="12.75">
      <c r="AJ477" s="3"/>
      <c r="AK477" s="3"/>
    </row>
    <row r="478" spans="36:37" ht="12.75">
      <c r="AJ478" s="3"/>
      <c r="AK478" s="3"/>
    </row>
    <row r="479" spans="36:37" ht="12.75">
      <c r="AJ479" s="3"/>
      <c r="AK479" s="3"/>
    </row>
    <row r="480" spans="36:37" ht="12.75">
      <c r="AJ480" s="3"/>
      <c r="AK480" s="3"/>
    </row>
    <row r="481" spans="36:37" ht="12.75">
      <c r="AJ481" s="3"/>
      <c r="AK481" s="3"/>
    </row>
    <row r="482" spans="36:37" ht="12.75">
      <c r="AJ482" s="3"/>
      <c r="AK482" s="3"/>
    </row>
    <row r="483" spans="36:37" ht="12.75">
      <c r="AJ483" s="3"/>
      <c r="AK483" s="3"/>
    </row>
    <row r="484" spans="36:37" ht="12.75">
      <c r="AJ484" s="3"/>
      <c r="AK484" s="3"/>
    </row>
    <row r="485" spans="36:37" ht="12.75">
      <c r="AJ485" s="3"/>
      <c r="AK485" s="3"/>
    </row>
    <row r="486" spans="36:37" ht="12.75">
      <c r="AJ486" s="3"/>
      <c r="AK486" s="3"/>
    </row>
    <row r="487" spans="36:37" ht="12.75">
      <c r="AJ487" s="3"/>
      <c r="AK487" s="3"/>
    </row>
    <row r="488" spans="36:37" ht="12.75">
      <c r="AJ488" s="3"/>
      <c r="AK488" s="3"/>
    </row>
    <row r="489" spans="36:37" ht="12.75">
      <c r="AJ489" s="3"/>
      <c r="AK489" s="3"/>
    </row>
    <row r="490" spans="36:37" ht="12.75">
      <c r="AJ490" s="3"/>
      <c r="AK490" s="3"/>
    </row>
    <row r="491" spans="36:37" ht="12.75">
      <c r="AJ491" s="3"/>
      <c r="AK491" s="3"/>
    </row>
    <row r="492" spans="36:37" ht="12.75">
      <c r="AJ492" s="3"/>
      <c r="AK492" s="3"/>
    </row>
    <row r="493" spans="36:37" ht="12.75">
      <c r="AJ493" s="3"/>
      <c r="AK493" s="3"/>
    </row>
    <row r="494" spans="36:37" ht="12.75">
      <c r="AJ494" s="3"/>
      <c r="AK494" s="3"/>
    </row>
    <row r="495" spans="36:37" ht="12.75">
      <c r="AJ495" s="3"/>
      <c r="AK495" s="3"/>
    </row>
    <row r="496" spans="36:37" ht="12.75">
      <c r="AJ496" s="3"/>
      <c r="AK496" s="3"/>
    </row>
    <row r="497" spans="36:37" ht="12.75">
      <c r="AJ497" s="3"/>
      <c r="AK497" s="3"/>
    </row>
    <row r="498" spans="36:37" ht="12.75">
      <c r="AJ498" s="3"/>
      <c r="AK498" s="3"/>
    </row>
    <row r="499" spans="36:37" ht="12.75">
      <c r="AJ499" s="3"/>
      <c r="AK499" s="3"/>
    </row>
    <row r="500" spans="36:37" ht="12.75">
      <c r="AJ500" s="3"/>
      <c r="AK500" s="3"/>
    </row>
    <row r="501" spans="36:37" ht="12.75">
      <c r="AJ501" s="3"/>
      <c r="AK501" s="3"/>
    </row>
    <row r="502" spans="36:37" ht="12.75">
      <c r="AJ502" s="3"/>
      <c r="AK502" s="3"/>
    </row>
    <row r="503" spans="36:37" ht="12.75">
      <c r="AJ503" s="3"/>
      <c r="AK503" s="3"/>
    </row>
    <row r="504" spans="36:37" ht="12.75">
      <c r="AJ504" s="3"/>
      <c r="AK504" s="3"/>
    </row>
    <row r="505" spans="36:37" ht="12.75">
      <c r="AJ505" s="3"/>
      <c r="AK505" s="3"/>
    </row>
    <row r="506" spans="36:37" ht="12.75">
      <c r="AJ506" s="3"/>
      <c r="AK506" s="3"/>
    </row>
    <row r="507" spans="36:37" ht="12.75">
      <c r="AJ507" s="3"/>
      <c r="AK507" s="3"/>
    </row>
    <row r="508" spans="36:37" ht="12.75">
      <c r="AJ508" s="3"/>
      <c r="AK508" s="3"/>
    </row>
    <row r="509" spans="36:37" ht="12.75">
      <c r="AJ509" s="3"/>
      <c r="AK509" s="3"/>
    </row>
    <row r="510" spans="36:37" ht="12.75">
      <c r="AJ510" s="3"/>
      <c r="AK510" s="3"/>
    </row>
    <row r="511" spans="36:37" ht="12.75">
      <c r="AJ511" s="3"/>
      <c r="AK511" s="3"/>
    </row>
    <row r="512" spans="36:37" ht="12.75">
      <c r="AJ512" s="3"/>
      <c r="AK512" s="3"/>
    </row>
    <row r="513" spans="36:37" ht="12.75">
      <c r="AJ513" s="3"/>
      <c r="AK513" s="3"/>
    </row>
    <row r="514" spans="36:37" ht="12.75">
      <c r="AJ514" s="3"/>
      <c r="AK514" s="3"/>
    </row>
    <row r="515" spans="36:37" ht="12.75">
      <c r="AJ515" s="3"/>
      <c r="AK515" s="3"/>
    </row>
    <row r="516" spans="36:37" ht="12.75">
      <c r="AJ516" s="3"/>
      <c r="AK516" s="3"/>
    </row>
    <row r="517" spans="36:37" ht="12.75">
      <c r="AJ517" s="3"/>
      <c r="AK517" s="3"/>
    </row>
    <row r="518" spans="36:37" ht="12.75">
      <c r="AJ518" s="3"/>
      <c r="AK518" s="3"/>
    </row>
    <row r="519" spans="36:37" ht="12.75">
      <c r="AJ519" s="3"/>
      <c r="AK519" s="3"/>
    </row>
    <row r="520" spans="36:37" ht="12.75">
      <c r="AJ520" s="3"/>
      <c r="AK520" s="3"/>
    </row>
    <row r="521" spans="36:37" ht="12.75">
      <c r="AJ521" s="3"/>
      <c r="AK521" s="3"/>
    </row>
    <row r="522" spans="36:37" ht="12.75">
      <c r="AJ522" s="3"/>
      <c r="AK522" s="3"/>
    </row>
    <row r="523" spans="36:37" ht="12.75">
      <c r="AJ523" s="3"/>
      <c r="AK523" s="3"/>
    </row>
    <row r="524" spans="36:37" ht="12.75">
      <c r="AJ524" s="3"/>
      <c r="AK524" s="3"/>
    </row>
    <row r="525" spans="36:37" ht="12.75">
      <c r="AJ525" s="3"/>
      <c r="AK525" s="3"/>
    </row>
    <row r="526" spans="36:37" ht="12.75">
      <c r="AJ526" s="3"/>
      <c r="AK526" s="3"/>
    </row>
    <row r="527" spans="36:37" ht="12.75">
      <c r="AJ527" s="3"/>
      <c r="AK527" s="3"/>
    </row>
    <row r="528" spans="36:37" ht="12.75">
      <c r="AJ528" s="3"/>
      <c r="AK528" s="3"/>
    </row>
    <row r="529" spans="36:37" ht="12.75">
      <c r="AJ529" s="3"/>
      <c r="AK529" s="3"/>
    </row>
    <row r="530" spans="36:37" ht="12.75">
      <c r="AJ530" s="3"/>
      <c r="AK530" s="3"/>
    </row>
    <row r="531" spans="36:37" ht="12.75">
      <c r="AJ531" s="3"/>
      <c r="AK531" s="3"/>
    </row>
    <row r="532" spans="36:37" ht="12.75">
      <c r="AJ532" s="3"/>
      <c r="AK532" s="3"/>
    </row>
    <row r="533" spans="36:37" ht="12.75">
      <c r="AJ533" s="3"/>
      <c r="AK533" s="3"/>
    </row>
    <row r="534" spans="36:37" ht="12.75">
      <c r="AJ534" s="3"/>
      <c r="AK534" s="3"/>
    </row>
    <row r="535" spans="36:37" ht="12.75">
      <c r="AJ535" s="3"/>
      <c r="AK535" s="3"/>
    </row>
    <row r="536" spans="36:37" ht="12.75">
      <c r="AJ536" s="3"/>
      <c r="AK536" s="3"/>
    </row>
    <row r="537" spans="36:37" ht="12.75">
      <c r="AJ537" s="3"/>
      <c r="AK537" s="3"/>
    </row>
    <row r="538" spans="36:37" ht="12.75">
      <c r="AJ538" s="3"/>
      <c r="AK538" s="3"/>
    </row>
    <row r="539" spans="36:37" ht="12.75">
      <c r="AJ539" s="3"/>
      <c r="AK539" s="3"/>
    </row>
    <row r="540" spans="36:37" ht="12.75">
      <c r="AJ540" s="3"/>
      <c r="AK540" s="3"/>
    </row>
    <row r="541" spans="36:37" ht="12.75">
      <c r="AJ541" s="3"/>
      <c r="AK541" s="3"/>
    </row>
    <row r="542" spans="36:37" ht="12.75">
      <c r="AJ542" s="3"/>
      <c r="AK542" s="3"/>
    </row>
    <row r="543" spans="36:37" ht="12.75">
      <c r="AJ543" s="3"/>
      <c r="AK543" s="3"/>
    </row>
    <row r="544" spans="36:37" ht="12.75">
      <c r="AJ544" s="3"/>
      <c r="AK544" s="3"/>
    </row>
    <row r="545" spans="36:37" ht="12.75">
      <c r="AJ545" s="3"/>
      <c r="AK545" s="3"/>
    </row>
    <row r="546" spans="36:37" ht="12.75">
      <c r="AJ546" s="3"/>
      <c r="AK546" s="3"/>
    </row>
    <row r="547" spans="36:37" ht="12.75">
      <c r="AJ547" s="3"/>
      <c r="AK547" s="3"/>
    </row>
    <row r="548" spans="36:37" ht="12.75">
      <c r="AJ548" s="3"/>
      <c r="AK548" s="3"/>
    </row>
    <row r="549" spans="36:37" ht="12.75">
      <c r="AJ549" s="3"/>
      <c r="AK549" s="3"/>
    </row>
    <row r="550" spans="36:37" ht="12.75">
      <c r="AJ550" s="3"/>
      <c r="AK550" s="3"/>
    </row>
    <row r="551" spans="36:37" ht="12.75">
      <c r="AJ551" s="3"/>
      <c r="AK551" s="3"/>
    </row>
    <row r="552" spans="36:37" ht="12.75">
      <c r="AJ552" s="3"/>
      <c r="AK552" s="3"/>
    </row>
    <row r="553" spans="36:37" ht="12.75">
      <c r="AJ553" s="3"/>
      <c r="AK553" s="3"/>
    </row>
    <row r="554" spans="36:37" ht="12.75">
      <c r="AJ554" s="3"/>
      <c r="AK554" s="3"/>
    </row>
    <row r="555" spans="36:37" ht="12.75">
      <c r="AJ555" s="3"/>
      <c r="AK555" s="3"/>
    </row>
    <row r="556" spans="36:37" ht="12.75">
      <c r="AJ556" s="3"/>
      <c r="AK556" s="3"/>
    </row>
    <row r="557" spans="36:37" ht="12.75">
      <c r="AJ557" s="3"/>
      <c r="AK557" s="3"/>
    </row>
    <row r="558" spans="36:37" ht="12.75">
      <c r="AJ558" s="3"/>
      <c r="AK558" s="3"/>
    </row>
    <row r="559" spans="36:37" ht="12.75">
      <c r="AJ559" s="3"/>
      <c r="AK559" s="3"/>
    </row>
    <row r="560" spans="36:37" ht="12.75">
      <c r="AJ560" s="3"/>
      <c r="AK560" s="3"/>
    </row>
    <row r="561" spans="36:37" ht="12.75">
      <c r="AJ561" s="3"/>
      <c r="AK561" s="3"/>
    </row>
    <row r="562" spans="36:37" ht="12.75">
      <c r="AJ562" s="3"/>
      <c r="AK562" s="3"/>
    </row>
    <row r="563" spans="36:37" ht="12.75">
      <c r="AJ563" s="3"/>
      <c r="AK563" s="3"/>
    </row>
    <row r="564" spans="36:37" ht="12.75">
      <c r="AJ564" s="3"/>
      <c r="AK564" s="3"/>
    </row>
    <row r="565" spans="36:37" ht="12.75">
      <c r="AJ565" s="3"/>
      <c r="AK565" s="3"/>
    </row>
    <row r="566" spans="36:37" ht="12.75">
      <c r="AJ566" s="3"/>
      <c r="AK566" s="3"/>
    </row>
    <row r="567" spans="36:37" ht="12.75">
      <c r="AJ567" s="3"/>
      <c r="AK567" s="3"/>
    </row>
    <row r="568" spans="36:37" ht="12.75">
      <c r="AJ568" s="3"/>
      <c r="AK568" s="3"/>
    </row>
    <row r="569" spans="36:37" ht="12.75">
      <c r="AJ569" s="3"/>
      <c r="AK569" s="3"/>
    </row>
    <row r="570" spans="36:37" ht="12.75">
      <c r="AJ570" s="3"/>
      <c r="AK570" s="3"/>
    </row>
    <row r="571" spans="36:37" ht="12.75">
      <c r="AJ571" s="3"/>
      <c r="AK571" s="3"/>
    </row>
    <row r="572" spans="36:37" ht="12.75">
      <c r="AJ572" s="3"/>
      <c r="AK572" s="3"/>
    </row>
    <row r="573" spans="36:37" ht="12.75">
      <c r="AJ573" s="3"/>
      <c r="AK573" s="3"/>
    </row>
    <row r="574" spans="36:37" ht="12.75">
      <c r="AJ574" s="3"/>
      <c r="AK574" s="3"/>
    </row>
    <row r="575" spans="36:37" ht="12.75">
      <c r="AJ575" s="3"/>
      <c r="AK575" s="3"/>
    </row>
    <row r="576" spans="36:37" ht="12.75">
      <c r="AJ576" s="3"/>
      <c r="AK576" s="3"/>
    </row>
    <row r="577" spans="36:37" ht="12.75">
      <c r="AJ577" s="3"/>
      <c r="AK577" s="3"/>
    </row>
    <row r="578" spans="36:37" ht="12.75">
      <c r="AJ578" s="3"/>
      <c r="AK578" s="3"/>
    </row>
    <row r="579" spans="36:37" ht="12.75">
      <c r="AJ579" s="3"/>
      <c r="AK579" s="3"/>
    </row>
    <row r="580" spans="36:37" ht="12.75">
      <c r="AJ580" s="3"/>
      <c r="AK580" s="3"/>
    </row>
    <row r="581" spans="36:37" ht="12.75">
      <c r="AJ581" s="3"/>
      <c r="AK581" s="3"/>
    </row>
    <row r="582" spans="36:37" ht="12.75">
      <c r="AJ582" s="3"/>
      <c r="AK582" s="3"/>
    </row>
    <row r="583" spans="36:37" ht="12.75">
      <c r="AJ583" s="3"/>
      <c r="AK583" s="3"/>
    </row>
    <row r="584" spans="36:37" ht="12.75">
      <c r="AJ584" s="3"/>
      <c r="AK584" s="3"/>
    </row>
    <row r="585" spans="36:37" ht="12.75">
      <c r="AJ585" s="3"/>
      <c r="AK585" s="3"/>
    </row>
    <row r="586" spans="36:37" ht="12.75">
      <c r="AJ586" s="3"/>
      <c r="AK586" s="3"/>
    </row>
    <row r="587" spans="36:37" ht="12.75">
      <c r="AJ587" s="3"/>
      <c r="AK587" s="3"/>
    </row>
    <row r="588" spans="36:37" ht="12.75">
      <c r="AJ588" s="3"/>
      <c r="AK588" s="3"/>
    </row>
    <row r="589" spans="36:37" ht="12.75">
      <c r="AJ589" s="3"/>
      <c r="AK589" s="3"/>
    </row>
    <row r="590" spans="36:37" ht="12.75">
      <c r="AJ590" s="3"/>
      <c r="AK590" s="3"/>
    </row>
    <row r="591" spans="36:37" ht="12.75">
      <c r="AJ591" s="3"/>
      <c r="AK591" s="3"/>
    </row>
    <row r="592" spans="36:37" ht="12.75">
      <c r="AJ592" s="3"/>
      <c r="AK592" s="3"/>
    </row>
    <row r="593" spans="36:37" ht="12.75">
      <c r="AJ593" s="3"/>
      <c r="AK593" s="3"/>
    </row>
    <row r="594" spans="36:37" ht="12.75">
      <c r="AJ594" s="3"/>
      <c r="AK594" s="3"/>
    </row>
    <row r="595" spans="36:37" ht="12.75">
      <c r="AJ595" s="3"/>
      <c r="AK595" s="3"/>
    </row>
    <row r="596" spans="36:37" ht="12.75">
      <c r="AJ596" s="3"/>
      <c r="AK596" s="3"/>
    </row>
    <row r="597" spans="36:37" ht="12.75">
      <c r="AJ597" s="3"/>
      <c r="AK597" s="3"/>
    </row>
    <row r="598" spans="36:37" ht="12.75">
      <c r="AJ598" s="3"/>
      <c r="AK598" s="3"/>
    </row>
    <row r="599" spans="36:37" ht="12.75">
      <c r="AJ599" s="3"/>
      <c r="AK599" s="3"/>
    </row>
    <row r="600" spans="36:37" ht="12.75">
      <c r="AJ600" s="3"/>
      <c r="AK600" s="3"/>
    </row>
    <row r="601" spans="36:37" ht="12.75">
      <c r="AJ601" s="3"/>
      <c r="AK601" s="3"/>
    </row>
    <row r="602" spans="36:37" ht="12.75">
      <c r="AJ602" s="3"/>
      <c r="AK602" s="3"/>
    </row>
    <row r="603" spans="36:37" ht="12.75">
      <c r="AJ603" s="3"/>
      <c r="AK603" s="3"/>
    </row>
    <row r="604" spans="36:37" ht="12.75">
      <c r="AJ604" s="3"/>
      <c r="AK604" s="3"/>
    </row>
    <row r="605" spans="36:37" ht="12.75">
      <c r="AJ605" s="3"/>
      <c r="AK605" s="3"/>
    </row>
    <row r="606" spans="36:37" ht="12.75">
      <c r="AJ606" s="3"/>
      <c r="AK606" s="3"/>
    </row>
    <row r="607" spans="36:37" ht="12.75">
      <c r="AJ607" s="3"/>
      <c r="AK607" s="3"/>
    </row>
    <row r="608" spans="36:37" ht="12.75">
      <c r="AJ608" s="3"/>
      <c r="AK608" s="3"/>
    </row>
    <row r="609" spans="36:37" ht="12.75">
      <c r="AJ609" s="3"/>
      <c r="AK609" s="3"/>
    </row>
    <row r="610" spans="36:37" ht="12.75">
      <c r="AJ610" s="3"/>
      <c r="AK610" s="3"/>
    </row>
    <row r="611" spans="36:37" ht="12.75">
      <c r="AJ611" s="3"/>
      <c r="AK611" s="3"/>
    </row>
    <row r="612" spans="36:37" ht="12.75">
      <c r="AJ612" s="3"/>
      <c r="AK612" s="3"/>
    </row>
    <row r="613" spans="36:37" ht="12.75">
      <c r="AJ613" s="3"/>
      <c r="AK613" s="3"/>
    </row>
    <row r="614" spans="36:37" ht="12.75">
      <c r="AJ614" s="3"/>
      <c r="AK614" s="3"/>
    </row>
    <row r="615" spans="36:37" ht="12.75">
      <c r="AJ615" s="3"/>
      <c r="AK615" s="3"/>
    </row>
    <row r="616" spans="36:37" ht="12.75">
      <c r="AJ616" s="3"/>
      <c r="AK616" s="3"/>
    </row>
    <row r="617" spans="36:37" ht="12.75">
      <c r="AJ617" s="3"/>
      <c r="AK617" s="3"/>
    </row>
    <row r="618" spans="36:37" ht="12.75">
      <c r="AJ618" s="3"/>
      <c r="AK618" s="3"/>
    </row>
    <row r="619" spans="36:37" ht="12.75">
      <c r="AJ619" s="3"/>
      <c r="AK619" s="3"/>
    </row>
    <row r="620" spans="36:37" ht="12.75">
      <c r="AJ620" s="3"/>
      <c r="AK620" s="3"/>
    </row>
    <row r="621" spans="36:37" ht="12.75">
      <c r="AJ621" s="3"/>
      <c r="AK621" s="3"/>
    </row>
    <row r="622" spans="36:37" ht="12.75">
      <c r="AJ622" s="3"/>
      <c r="AK622" s="3"/>
    </row>
    <row r="623" spans="36:37" ht="12.75">
      <c r="AJ623" s="3"/>
      <c r="AK623" s="3"/>
    </row>
    <row r="624" spans="36:37" ht="12.75">
      <c r="AJ624" s="3"/>
      <c r="AK624" s="3"/>
    </row>
    <row r="625" spans="36:37" ht="12.75">
      <c r="AJ625" s="3"/>
      <c r="AK625" s="3"/>
    </row>
    <row r="626" spans="36:37" ht="12.75">
      <c r="AJ626" s="3"/>
      <c r="AK626" s="3"/>
    </row>
    <row r="627" spans="36:37" ht="12.75">
      <c r="AJ627" s="3"/>
      <c r="AK627" s="3"/>
    </row>
    <row r="628" spans="36:37" ht="12.75">
      <c r="AJ628" s="3"/>
      <c r="AK628" s="3"/>
    </row>
    <row r="629" spans="36:37" ht="12.75">
      <c r="AJ629" s="3"/>
      <c r="AK629" s="3"/>
    </row>
    <row r="630" spans="36:37" ht="12.75">
      <c r="AJ630" s="3"/>
      <c r="AK630" s="3"/>
    </row>
    <row r="631" spans="36:37" ht="12.75">
      <c r="AJ631" s="3"/>
      <c r="AK631" s="3"/>
    </row>
    <row r="632" spans="36:37" ht="12.75">
      <c r="AJ632" s="3"/>
      <c r="AK632" s="3"/>
    </row>
    <row r="633" spans="36:37" ht="12.75">
      <c r="AJ633" s="3"/>
      <c r="AK633" s="3"/>
    </row>
    <row r="634" spans="36:37" ht="12.75">
      <c r="AJ634" s="3"/>
      <c r="AK634" s="3"/>
    </row>
    <row r="635" spans="36:37" ht="12.75">
      <c r="AJ635" s="3"/>
      <c r="AK635" s="3"/>
    </row>
    <row r="636" spans="36:37" ht="12.75">
      <c r="AJ636" s="3"/>
      <c r="AK636" s="3"/>
    </row>
    <row r="637" spans="36:37" ht="12.75">
      <c r="AJ637" s="3"/>
      <c r="AK637" s="3"/>
    </row>
    <row r="638" spans="36:37" ht="12.75">
      <c r="AJ638" s="3"/>
      <c r="AK638" s="3"/>
    </row>
    <row r="639" spans="36:37" ht="12.75">
      <c r="AJ639" s="3"/>
      <c r="AK639" s="3"/>
    </row>
    <row r="640" spans="36:37" ht="12.75">
      <c r="AJ640" s="3"/>
      <c r="AK640" s="3"/>
    </row>
    <row r="641" spans="36:37" ht="12.75">
      <c r="AJ641" s="3"/>
      <c r="AK641" s="3"/>
    </row>
    <row r="642" spans="36:37" ht="12.75">
      <c r="AJ642" s="3"/>
      <c r="AK642" s="3"/>
    </row>
    <row r="643" spans="36:37" ht="12.75">
      <c r="AJ643" s="3"/>
      <c r="AK643" s="3"/>
    </row>
    <row r="644" spans="36:37" ht="12.75">
      <c r="AJ644" s="3"/>
      <c r="AK644" s="3"/>
    </row>
    <row r="645" spans="36:37" ht="12.75">
      <c r="AJ645" s="3"/>
      <c r="AK645" s="3"/>
    </row>
    <row r="646" spans="36:37" ht="12.75">
      <c r="AJ646" s="3"/>
      <c r="AK646" s="3"/>
    </row>
    <row r="647" spans="36:37" ht="12.75">
      <c r="AJ647" s="3"/>
      <c r="AK647" s="3"/>
    </row>
    <row r="648" spans="36:37" ht="12.75">
      <c r="AJ648" s="3"/>
      <c r="AK648" s="3"/>
    </row>
    <row r="649" spans="36:37" ht="12.75">
      <c r="AJ649" s="3"/>
      <c r="AK649" s="3"/>
    </row>
    <row r="650" spans="36:37" ht="12.75">
      <c r="AJ650" s="3"/>
      <c r="AK650" s="3"/>
    </row>
    <row r="651" spans="36:37" ht="12.75">
      <c r="AJ651" s="3"/>
      <c r="AK651" s="3"/>
    </row>
    <row r="652" spans="36:37" ht="12.75">
      <c r="AJ652" s="3"/>
      <c r="AK652" s="3"/>
    </row>
    <row r="653" spans="36:37" ht="12.75">
      <c r="AJ653" s="3"/>
      <c r="AK653" s="3"/>
    </row>
    <row r="654" spans="36:37" ht="12.75">
      <c r="AJ654" s="3"/>
      <c r="AK654" s="3"/>
    </row>
    <row r="655" spans="36:37" ht="12.75">
      <c r="AJ655" s="3"/>
      <c r="AK655" s="3"/>
    </row>
    <row r="656" spans="36:37" ht="12.75">
      <c r="AJ656" s="3"/>
      <c r="AK656" s="3"/>
    </row>
    <row r="657" spans="36:37" ht="12.75">
      <c r="AJ657" s="3"/>
      <c r="AK657" s="3"/>
    </row>
    <row r="658" spans="36:37" ht="12.75">
      <c r="AJ658" s="3"/>
      <c r="AK658" s="3"/>
    </row>
    <row r="659" spans="36:37" ht="12.75">
      <c r="AJ659" s="3"/>
      <c r="AK659" s="3"/>
    </row>
    <row r="660" spans="36:37" ht="12.75">
      <c r="AJ660" s="3"/>
      <c r="AK660" s="3"/>
    </row>
    <row r="661" spans="36:37" ht="12.75">
      <c r="AJ661" s="3"/>
      <c r="AK661" s="3"/>
    </row>
    <row r="662" spans="36:37" ht="12.75">
      <c r="AJ662" s="3"/>
      <c r="AK662" s="3"/>
    </row>
    <row r="663" spans="36:37" ht="12.75">
      <c r="AJ663" s="3"/>
      <c r="AK663" s="3"/>
    </row>
    <row r="664" spans="36:37" ht="12.75">
      <c r="AJ664" s="3"/>
      <c r="AK664" s="3"/>
    </row>
    <row r="665" spans="36:37" ht="12.75">
      <c r="AJ665" s="3"/>
      <c r="AK665" s="3"/>
    </row>
    <row r="666" spans="36:37" ht="12.75">
      <c r="AJ666" s="3"/>
      <c r="AK666" s="3"/>
    </row>
    <row r="667" spans="36:37" ht="12.75">
      <c r="AJ667" s="3"/>
      <c r="AK667" s="3"/>
    </row>
    <row r="668" spans="36:37" ht="12.75">
      <c r="AJ668" s="3"/>
      <c r="AK668" s="3"/>
    </row>
    <row r="669" spans="36:37" ht="12.75">
      <c r="AJ669" s="3"/>
      <c r="AK669" s="3"/>
    </row>
    <row r="670" spans="36:37" ht="12.75">
      <c r="AJ670" s="3"/>
      <c r="AK670" s="3"/>
    </row>
    <row r="671" spans="36:37" ht="12.75">
      <c r="AJ671" s="3"/>
      <c r="AK671" s="3"/>
    </row>
    <row r="672" spans="36:37" ht="12.75">
      <c r="AJ672" s="3"/>
      <c r="AK672" s="3"/>
    </row>
    <row r="673" spans="36:37" ht="12.75">
      <c r="AJ673" s="3"/>
      <c r="AK673" s="3"/>
    </row>
    <row r="674" spans="36:37" ht="12.75">
      <c r="AJ674" s="3"/>
      <c r="AK674" s="3"/>
    </row>
    <row r="675" spans="36:37" ht="12.75">
      <c r="AJ675" s="3"/>
      <c r="AK675" s="3"/>
    </row>
    <row r="676" spans="36:37" ht="12.75">
      <c r="AJ676" s="3"/>
      <c r="AK676" s="3"/>
    </row>
    <row r="677" spans="36:37" ht="12.75">
      <c r="AJ677" s="3"/>
      <c r="AK677" s="3"/>
    </row>
    <row r="678" spans="36:37" ht="12.75">
      <c r="AJ678" s="3"/>
      <c r="AK678" s="3"/>
    </row>
    <row r="679" spans="36:37" ht="12.75">
      <c r="AJ679" s="3"/>
      <c r="AK679" s="3"/>
    </row>
    <row r="680" spans="36:37" ht="12.75">
      <c r="AJ680" s="3"/>
      <c r="AK680" s="3"/>
    </row>
    <row r="681" spans="36:37" ht="12.75">
      <c r="AJ681" s="3"/>
      <c r="AK681" s="3"/>
    </row>
    <row r="682" spans="36:37" ht="12.75">
      <c r="AJ682" s="3"/>
      <c r="AK682" s="3"/>
    </row>
    <row r="683" spans="36:37" ht="12.75">
      <c r="AJ683" s="3"/>
      <c r="AK683" s="3"/>
    </row>
    <row r="684" spans="36:37" ht="12.75">
      <c r="AJ684" s="3"/>
      <c r="AK684" s="3"/>
    </row>
    <row r="685" spans="36:37" ht="12.75">
      <c r="AJ685" s="3"/>
      <c r="AK685" s="3"/>
    </row>
    <row r="686" spans="36:37" ht="12.75">
      <c r="AJ686" s="3"/>
      <c r="AK686" s="3"/>
    </row>
    <row r="687" spans="36:37" ht="12.75">
      <c r="AJ687" s="3"/>
      <c r="AK687" s="3"/>
    </row>
    <row r="688" spans="36:37" ht="12.75">
      <c r="AJ688" s="3"/>
      <c r="AK688" s="3"/>
    </row>
    <row r="689" spans="36:37" ht="12.75">
      <c r="AJ689" s="3"/>
      <c r="AK689" s="3"/>
    </row>
    <row r="690" spans="36:37" ht="12.75">
      <c r="AJ690" s="3"/>
      <c r="AK690" s="3"/>
    </row>
    <row r="691" spans="36:37" ht="12.75">
      <c r="AJ691" s="3"/>
      <c r="AK691" s="3"/>
    </row>
    <row r="692" spans="36:37" ht="12.75">
      <c r="AJ692" s="3"/>
      <c r="AK692" s="3"/>
    </row>
    <row r="693" spans="36:37" ht="12.75">
      <c r="AJ693" s="3"/>
      <c r="AK693" s="3"/>
    </row>
    <row r="694" spans="36:37" ht="12.75">
      <c r="AJ694" s="3"/>
      <c r="AK694" s="3"/>
    </row>
    <row r="695" spans="36:37" ht="12.75">
      <c r="AJ695" s="3"/>
      <c r="AK695" s="3"/>
    </row>
    <row r="696" spans="36:37" ht="12.75">
      <c r="AJ696" s="3"/>
      <c r="AK696" s="3"/>
    </row>
    <row r="697" spans="36:37" ht="12.75">
      <c r="AJ697" s="3"/>
      <c r="AK697" s="3"/>
    </row>
    <row r="698" spans="36:37" ht="12.75">
      <c r="AJ698" s="3"/>
      <c r="AK698" s="3"/>
    </row>
    <row r="699" spans="36:37" ht="12.75">
      <c r="AJ699" s="3"/>
      <c r="AK699" s="3"/>
    </row>
    <row r="700" spans="36:37" ht="12.75">
      <c r="AJ700" s="3"/>
      <c r="AK700" s="3"/>
    </row>
    <row r="701" spans="36:37" ht="12.75">
      <c r="AJ701" s="3"/>
      <c r="AK701" s="3"/>
    </row>
    <row r="702" spans="36:37" ht="12.75">
      <c r="AJ702" s="3"/>
      <c r="AK702" s="3"/>
    </row>
    <row r="703" spans="36:37" ht="12.75">
      <c r="AJ703" s="3"/>
      <c r="AK703" s="3"/>
    </row>
    <row r="704" spans="36:37" ht="12.75">
      <c r="AJ704" s="3"/>
      <c r="AK704" s="3"/>
    </row>
    <row r="705" spans="36:37" ht="12.75">
      <c r="AJ705" s="3"/>
      <c r="AK705" s="3"/>
    </row>
    <row r="706" spans="36:37" ht="12.75">
      <c r="AJ706" s="3"/>
      <c r="AK706" s="3"/>
    </row>
    <row r="707" spans="36:37" ht="12.75">
      <c r="AJ707" s="3"/>
      <c r="AK707" s="3"/>
    </row>
    <row r="708" spans="36:37" ht="12.75">
      <c r="AJ708" s="3"/>
      <c r="AK708" s="3"/>
    </row>
    <row r="709" spans="36:37" ht="12.75">
      <c r="AJ709" s="3"/>
      <c r="AK709" s="3"/>
    </row>
    <row r="710" spans="36:37" ht="12.75">
      <c r="AJ710" s="3"/>
      <c r="AK710" s="3"/>
    </row>
    <row r="711" spans="36:37" ht="12.75">
      <c r="AJ711" s="3"/>
      <c r="AK711" s="3"/>
    </row>
    <row r="712" spans="36:37" ht="12.75">
      <c r="AJ712" s="3"/>
      <c r="AK712" s="3"/>
    </row>
    <row r="713" spans="36:37" ht="12.75">
      <c r="AJ713" s="3"/>
      <c r="AK713" s="3"/>
    </row>
    <row r="714" spans="36:37" ht="12.75">
      <c r="AJ714" s="3"/>
      <c r="AK714" s="3"/>
    </row>
    <row r="715" spans="36:37" ht="12.75">
      <c r="AJ715" s="3"/>
      <c r="AK715" s="3"/>
    </row>
    <row r="716" spans="36:37" ht="12.75">
      <c r="AJ716" s="3"/>
      <c r="AK716" s="3"/>
    </row>
    <row r="717" spans="36:37" ht="12.75">
      <c r="AJ717" s="3"/>
      <c r="AK717" s="3"/>
    </row>
    <row r="718" spans="36:37" ht="12.75">
      <c r="AJ718" s="3"/>
      <c r="AK718" s="3"/>
    </row>
    <row r="719" spans="36:37" ht="12.75">
      <c r="AJ719" s="3"/>
      <c r="AK719" s="3"/>
    </row>
    <row r="720" spans="36:37" ht="12.75">
      <c r="AJ720" s="3"/>
      <c r="AK720" s="3"/>
    </row>
    <row r="721" spans="36:37" ht="12.75">
      <c r="AJ721" s="3"/>
      <c r="AK721" s="3"/>
    </row>
    <row r="722" spans="36:37" ht="12.75">
      <c r="AJ722" s="3"/>
      <c r="AK722" s="3"/>
    </row>
    <row r="723" spans="36:37" ht="12.75">
      <c r="AJ723" s="3"/>
      <c r="AK723" s="3"/>
    </row>
    <row r="724" spans="36:37" ht="12.75">
      <c r="AJ724" s="3"/>
      <c r="AK724" s="3"/>
    </row>
    <row r="725" spans="36:37" ht="12.75">
      <c r="AJ725" s="3"/>
      <c r="AK725" s="3"/>
    </row>
    <row r="726" spans="36:37" ht="12.75">
      <c r="AJ726" s="3"/>
      <c r="AK726" s="3"/>
    </row>
    <row r="727" spans="36:37" ht="12.75">
      <c r="AJ727" s="3"/>
      <c r="AK727" s="3"/>
    </row>
    <row r="728" spans="36:37" ht="12.75">
      <c r="AJ728" s="3"/>
      <c r="AK728" s="3"/>
    </row>
    <row r="729" spans="36:37" ht="12.75">
      <c r="AJ729" s="3"/>
      <c r="AK729" s="3"/>
    </row>
    <row r="730" spans="36:37" ht="12.75">
      <c r="AJ730" s="3"/>
      <c r="AK730" s="3"/>
    </row>
    <row r="731" spans="36:37" ht="12.75">
      <c r="AJ731" s="3"/>
      <c r="AK731" s="3"/>
    </row>
    <row r="732" spans="36:37" ht="12.75">
      <c r="AJ732" s="3"/>
      <c r="AK732" s="3"/>
    </row>
    <row r="733" spans="36:37" ht="12.75">
      <c r="AJ733" s="3"/>
      <c r="AK733" s="3"/>
    </row>
    <row r="734" spans="36:37" ht="12.75">
      <c r="AJ734" s="3"/>
      <c r="AK734" s="3"/>
    </row>
    <row r="735" spans="36:37" ht="12.75">
      <c r="AJ735" s="3"/>
      <c r="AK735" s="3"/>
    </row>
    <row r="736" spans="36:37" ht="12.75">
      <c r="AJ736" s="3"/>
      <c r="AK736" s="3"/>
    </row>
    <row r="737" spans="36:37" ht="12.75">
      <c r="AJ737" s="3"/>
      <c r="AK737" s="3"/>
    </row>
    <row r="738" spans="36:37" ht="12.75">
      <c r="AJ738" s="3"/>
      <c r="AK738" s="3"/>
    </row>
    <row r="739" spans="36:37" ht="12.75">
      <c r="AJ739" s="3"/>
      <c r="AK739" s="3"/>
    </row>
    <row r="740" spans="36:37" ht="12.75">
      <c r="AJ740" s="3"/>
      <c r="AK740" s="3"/>
    </row>
    <row r="741" spans="36:37" ht="12.75">
      <c r="AJ741" s="3"/>
      <c r="AK741" s="3"/>
    </row>
    <row r="742" spans="36:37" ht="12.75">
      <c r="AJ742" s="3"/>
      <c r="AK742" s="3"/>
    </row>
    <row r="743" spans="36:37" ht="12.75">
      <c r="AJ743" s="3"/>
      <c r="AK743" s="3"/>
    </row>
    <row r="744" spans="36:37" ht="12.75">
      <c r="AJ744" s="3"/>
      <c r="AK744" s="3"/>
    </row>
    <row r="745" spans="36:37" ht="12.75">
      <c r="AJ745" s="3"/>
      <c r="AK745" s="3"/>
    </row>
    <row r="746" spans="36:37" ht="12.75">
      <c r="AJ746" s="3"/>
      <c r="AK746" s="3"/>
    </row>
    <row r="747" spans="36:37" ht="12.75">
      <c r="AJ747" s="3"/>
      <c r="AK747" s="3"/>
    </row>
    <row r="748" spans="36:37" ht="12.75">
      <c r="AJ748" s="3"/>
      <c r="AK748" s="3"/>
    </row>
    <row r="749" spans="36:37" ht="12.75">
      <c r="AJ749" s="3"/>
      <c r="AK749" s="3"/>
    </row>
    <row r="750" spans="36:37" ht="12.75">
      <c r="AJ750" s="3"/>
      <c r="AK750" s="3"/>
    </row>
    <row r="751" spans="36:37" ht="12.75">
      <c r="AJ751" s="3"/>
      <c r="AK751" s="3"/>
    </row>
    <row r="752" spans="36:37" ht="12.75">
      <c r="AJ752" s="3"/>
      <c r="AK752" s="3"/>
    </row>
    <row r="753" spans="36:37" ht="12.75">
      <c r="AJ753" s="3"/>
      <c r="AK753" s="3"/>
    </row>
    <row r="754" spans="36:37" ht="12.75">
      <c r="AJ754" s="3"/>
      <c r="AK754" s="3"/>
    </row>
    <row r="755" spans="36:37" ht="12.75">
      <c r="AJ755" s="3"/>
      <c r="AK755" s="3"/>
    </row>
    <row r="756" spans="36:37" ht="12.75">
      <c r="AJ756" s="3"/>
      <c r="AK756" s="3"/>
    </row>
    <row r="757" spans="36:37" ht="12.75">
      <c r="AJ757" s="3"/>
      <c r="AK757" s="3"/>
    </row>
    <row r="758" spans="36:37" ht="12.75">
      <c r="AJ758" s="3"/>
      <c r="AK758" s="3"/>
    </row>
    <row r="759" spans="36:37" ht="12.75">
      <c r="AJ759" s="3"/>
      <c r="AK759" s="3"/>
    </row>
    <row r="760" spans="36:37" ht="12.75">
      <c r="AJ760" s="3"/>
      <c r="AK760" s="3"/>
    </row>
    <row r="761" spans="36:37" ht="12.75">
      <c r="AJ761" s="3"/>
      <c r="AK761" s="3"/>
    </row>
    <row r="762" spans="36:37" ht="12.75">
      <c r="AJ762" s="3"/>
      <c r="AK762" s="3"/>
    </row>
    <row r="763" spans="36:37" ht="12.75">
      <c r="AJ763" s="3"/>
      <c r="AK763" s="3"/>
    </row>
    <row r="764" spans="36:37" ht="12.75">
      <c r="AJ764" s="3"/>
      <c r="AK764" s="3"/>
    </row>
    <row r="765" spans="36:37" ht="12.75">
      <c r="AJ765" s="3"/>
      <c r="AK765" s="3"/>
    </row>
    <row r="766" spans="36:37" ht="12.75">
      <c r="AJ766" s="3"/>
      <c r="AK766" s="3"/>
    </row>
    <row r="767" spans="36:37" ht="12.75">
      <c r="AJ767" s="3"/>
      <c r="AK767" s="3"/>
    </row>
    <row r="768" spans="36:37" ht="12.75">
      <c r="AJ768" s="3"/>
      <c r="AK768" s="3"/>
    </row>
    <row r="769" spans="36:37" ht="12.75">
      <c r="AJ769" s="3"/>
      <c r="AK769" s="3"/>
    </row>
    <row r="770" spans="36:37" ht="12.75">
      <c r="AJ770" s="3"/>
      <c r="AK770" s="3"/>
    </row>
    <row r="771" spans="36:37" ht="12.75">
      <c r="AJ771" s="3"/>
      <c r="AK771" s="3"/>
    </row>
    <row r="772" spans="36:37" ht="12.75">
      <c r="AJ772" s="3"/>
      <c r="AK772" s="3"/>
    </row>
    <row r="773" spans="36:37" ht="12.75">
      <c r="AJ773" s="3"/>
      <c r="AK773" s="3"/>
    </row>
    <row r="774" spans="36:37" ht="12.75">
      <c r="AJ774" s="3"/>
      <c r="AK774" s="3"/>
    </row>
    <row r="775" spans="36:37" ht="12.75">
      <c r="AJ775" s="3"/>
      <c r="AK775" s="3"/>
    </row>
    <row r="776" spans="36:37" ht="12.75">
      <c r="AJ776" s="3"/>
      <c r="AK776" s="3"/>
    </row>
    <row r="777" spans="36:37" ht="12.75">
      <c r="AJ777" s="3"/>
      <c r="AK777" s="3"/>
    </row>
    <row r="778" spans="36:37" ht="12.75">
      <c r="AJ778" s="3"/>
      <c r="AK778" s="3"/>
    </row>
    <row r="779" spans="36:37" ht="12.75">
      <c r="AJ779" s="3"/>
      <c r="AK779" s="3"/>
    </row>
    <row r="780" spans="36:37" ht="12.75">
      <c r="AJ780" s="3"/>
      <c r="AK780" s="3"/>
    </row>
    <row r="781" spans="36:37" ht="12.75">
      <c r="AJ781" s="3"/>
      <c r="AK781" s="3"/>
    </row>
    <row r="782" spans="36:37" ht="12.75">
      <c r="AJ782" s="3"/>
      <c r="AK782" s="3"/>
    </row>
    <row r="783" spans="36:37" ht="12.75">
      <c r="AJ783" s="3"/>
      <c r="AK783" s="3"/>
    </row>
    <row r="784" spans="36:37" ht="12.75">
      <c r="AJ784" s="3"/>
      <c r="AK784" s="3"/>
    </row>
    <row r="785" spans="36:37" ht="12.75">
      <c r="AJ785" s="3"/>
      <c r="AK785" s="3"/>
    </row>
    <row r="786" spans="36:37" ht="12.75">
      <c r="AJ786" s="3"/>
      <c r="AK786" s="3"/>
    </row>
    <row r="787" spans="36:37" ht="12.75">
      <c r="AJ787" s="3"/>
      <c r="AK787" s="3"/>
    </row>
    <row r="788" spans="36:37" ht="12.75">
      <c r="AJ788" s="3"/>
      <c r="AK788" s="3"/>
    </row>
    <row r="789" spans="36:37" ht="12.75">
      <c r="AJ789" s="3"/>
      <c r="AK789" s="3"/>
    </row>
    <row r="790" spans="36:37" ht="12.75">
      <c r="AJ790" s="3"/>
      <c r="AK790" s="3"/>
    </row>
    <row r="791" spans="36:37" ht="12.75">
      <c r="AJ791" s="3"/>
      <c r="AK791" s="3"/>
    </row>
    <row r="792" spans="36:37" ht="12.75">
      <c r="AJ792" s="3"/>
      <c r="AK792" s="3"/>
    </row>
    <row r="793" spans="36:37" ht="12.75">
      <c r="AJ793" s="3"/>
      <c r="AK793" s="3"/>
    </row>
    <row r="794" spans="36:37" ht="12.75">
      <c r="AJ794" s="3"/>
      <c r="AK794" s="3"/>
    </row>
    <row r="795" spans="36:37" ht="12.75">
      <c r="AJ795" s="3"/>
      <c r="AK795" s="3"/>
    </row>
    <row r="796" spans="36:37" ht="12.75">
      <c r="AJ796" s="3"/>
      <c r="AK796" s="3"/>
    </row>
    <row r="797" spans="36:37" ht="12.75">
      <c r="AJ797" s="3"/>
      <c r="AK797" s="3"/>
    </row>
    <row r="798" spans="36:37" ht="12.75">
      <c r="AJ798" s="3"/>
      <c r="AK798" s="3"/>
    </row>
    <row r="799" spans="36:37" ht="12.75">
      <c r="AJ799" s="3"/>
      <c r="AK799" s="3"/>
    </row>
    <row r="800" spans="36:37" ht="12.75">
      <c r="AJ800" s="3"/>
      <c r="AK800" s="3"/>
    </row>
    <row r="801" spans="36:37" ht="12.75">
      <c r="AJ801" s="3"/>
      <c r="AK801" s="3"/>
    </row>
    <row r="802" spans="36:37" ht="12.75">
      <c r="AJ802" s="3"/>
      <c r="AK802" s="3"/>
    </row>
    <row r="803" spans="36:37" ht="12.75">
      <c r="AJ803" s="3"/>
      <c r="AK803" s="3"/>
    </row>
    <row r="804" spans="36:37" ht="12.75">
      <c r="AJ804" s="3"/>
      <c r="AK804" s="3"/>
    </row>
    <row r="805" spans="36:37" ht="12.75">
      <c r="AJ805" s="3"/>
      <c r="AK805" s="3"/>
    </row>
    <row r="806" spans="36:37" ht="12.75">
      <c r="AJ806" s="3"/>
      <c r="AK806" s="3"/>
    </row>
    <row r="807" spans="36:37" ht="12.75">
      <c r="AJ807" s="3"/>
      <c r="AK807" s="3"/>
    </row>
    <row r="808" spans="36:37" ht="12.75">
      <c r="AJ808" s="3"/>
      <c r="AK808" s="3"/>
    </row>
    <row r="809" spans="36:37" ht="12.75">
      <c r="AJ809" s="3"/>
      <c r="AK809" s="3"/>
    </row>
    <row r="810" spans="36:37" ht="12.75">
      <c r="AJ810" s="3"/>
      <c r="AK810" s="3"/>
    </row>
    <row r="811" spans="36:37" ht="12.75">
      <c r="AJ811" s="3"/>
      <c r="AK811" s="3"/>
    </row>
    <row r="812" spans="36:37" ht="12.75">
      <c r="AJ812" s="3"/>
      <c r="AK812" s="3"/>
    </row>
    <row r="813" spans="36:37" ht="12.75">
      <c r="AJ813" s="3"/>
      <c r="AK813" s="3"/>
    </row>
    <row r="814" spans="36:37" ht="12.75">
      <c r="AJ814" s="3"/>
      <c r="AK814" s="3"/>
    </row>
    <row r="815" spans="36:37" ht="12.75">
      <c r="AJ815" s="3"/>
      <c r="AK815" s="3"/>
    </row>
    <row r="816" spans="36:37" ht="12.75">
      <c r="AJ816" s="3"/>
      <c r="AK816" s="3"/>
    </row>
    <row r="817" spans="36:37" ht="12.75">
      <c r="AJ817" s="3"/>
      <c r="AK817" s="3"/>
    </row>
    <row r="818" spans="36:37" ht="12.75">
      <c r="AJ818" s="3"/>
      <c r="AK818" s="3"/>
    </row>
    <row r="819" spans="36:37" ht="12.75">
      <c r="AJ819" s="3"/>
      <c r="AK819" s="3"/>
    </row>
    <row r="820" spans="36:37" ht="12.75">
      <c r="AJ820" s="3"/>
      <c r="AK820" s="3"/>
    </row>
    <row r="821" spans="36:37" ht="12.75">
      <c r="AJ821" s="3"/>
      <c r="AK821" s="3"/>
    </row>
    <row r="822" spans="36:37" ht="12.75">
      <c r="AJ822" s="3"/>
      <c r="AK822" s="3"/>
    </row>
    <row r="823" spans="36:37" ht="12.75">
      <c r="AJ823" s="3"/>
      <c r="AK823" s="3"/>
    </row>
    <row r="824" spans="36:37" ht="12.75">
      <c r="AJ824" s="3"/>
      <c r="AK824" s="3"/>
    </row>
    <row r="825" spans="36:37" ht="12.75">
      <c r="AJ825" s="3"/>
      <c r="AK825" s="3"/>
    </row>
    <row r="826" spans="36:37" ht="12.75">
      <c r="AJ826" s="3"/>
      <c r="AK826" s="3"/>
    </row>
    <row r="827" spans="36:37" ht="12.75">
      <c r="AJ827" s="3"/>
      <c r="AK827" s="3"/>
    </row>
    <row r="828" spans="36:37" ht="12.75">
      <c r="AJ828" s="3"/>
      <c r="AK828" s="3"/>
    </row>
    <row r="829" spans="36:37" ht="12.75">
      <c r="AJ829" s="3"/>
      <c r="AK829" s="3"/>
    </row>
    <row r="830" spans="36:37" ht="12.75">
      <c r="AJ830" s="3"/>
      <c r="AK830" s="3"/>
    </row>
    <row r="831" spans="36:37" ht="12.75">
      <c r="AJ831" s="3"/>
      <c r="AK831" s="3"/>
    </row>
    <row r="832" spans="36:37" ht="12.75">
      <c r="AJ832" s="3"/>
      <c r="AK832" s="3"/>
    </row>
    <row r="833" spans="36:37" ht="12.75">
      <c r="AJ833" s="3"/>
      <c r="AK833" s="3"/>
    </row>
    <row r="834" spans="36:37" ht="12.75">
      <c r="AJ834" s="3"/>
      <c r="AK834" s="3"/>
    </row>
    <row r="835" spans="36:37" ht="12.75">
      <c r="AJ835" s="3"/>
      <c r="AK835" s="3"/>
    </row>
    <row r="836" spans="36:37" ht="12.75">
      <c r="AJ836" s="3"/>
      <c r="AK836" s="3"/>
    </row>
    <row r="837" spans="36:37" ht="12.75">
      <c r="AJ837" s="3"/>
      <c r="AK837" s="3"/>
    </row>
    <row r="838" spans="36:37" ht="12.75">
      <c r="AJ838" s="3"/>
      <c r="AK838" s="3"/>
    </row>
    <row r="839" spans="36:37" ht="12.75">
      <c r="AJ839" s="3"/>
      <c r="AK839" s="3"/>
    </row>
    <row r="840" spans="36:37" ht="12.75">
      <c r="AJ840" s="3"/>
      <c r="AK840" s="3"/>
    </row>
    <row r="841" spans="36:37" ht="12.75">
      <c r="AJ841" s="3"/>
      <c r="AK841" s="3"/>
    </row>
    <row r="842" spans="36:37" ht="12.75">
      <c r="AJ842" s="3"/>
      <c r="AK842" s="3"/>
    </row>
    <row r="843" spans="36:37" ht="12.75">
      <c r="AJ843" s="3"/>
      <c r="AK843" s="3"/>
    </row>
    <row r="844" spans="36:37" ht="12.75">
      <c r="AJ844" s="3"/>
      <c r="AK844" s="3"/>
    </row>
    <row r="845" spans="36:37" ht="12.75">
      <c r="AJ845" s="3"/>
      <c r="AK845" s="3"/>
    </row>
    <row r="846" spans="36:37" ht="12.75">
      <c r="AJ846" s="3"/>
      <c r="AK846" s="3"/>
    </row>
    <row r="847" spans="36:37" ht="12.75">
      <c r="AJ847" s="3"/>
      <c r="AK847" s="3"/>
    </row>
    <row r="848" spans="36:37" ht="12.75">
      <c r="AJ848" s="3"/>
      <c r="AK848" s="3"/>
    </row>
    <row r="849" spans="36:37" ht="12.75">
      <c r="AJ849" s="3"/>
      <c r="AK849" s="3"/>
    </row>
    <row r="850" spans="36:37" ht="12.75">
      <c r="AJ850" s="3"/>
      <c r="AK850" s="3"/>
    </row>
    <row r="851" spans="36:37" ht="12.75">
      <c r="AJ851" s="3"/>
      <c r="AK851" s="3"/>
    </row>
    <row r="852" spans="36:37" ht="12.75">
      <c r="AJ852" s="3"/>
      <c r="AK852" s="3"/>
    </row>
    <row r="853" spans="36:37" ht="12.75">
      <c r="AJ853" s="3"/>
      <c r="AK853" s="3"/>
    </row>
    <row r="854" spans="36:37" ht="12.75">
      <c r="AJ854" s="3"/>
      <c r="AK854" s="3"/>
    </row>
    <row r="855" spans="36:37" ht="12.75">
      <c r="AJ855" s="3"/>
      <c r="AK855" s="3"/>
    </row>
    <row r="856" spans="36:37" ht="12.75">
      <c r="AJ856" s="3"/>
      <c r="AK856" s="3"/>
    </row>
    <row r="857" spans="36:37" ht="12.75">
      <c r="AJ857" s="3"/>
      <c r="AK857" s="3"/>
    </row>
    <row r="858" spans="36:37" ht="12.75">
      <c r="AJ858" s="3"/>
      <c r="AK858" s="3"/>
    </row>
    <row r="859" spans="36:37" ht="12.75">
      <c r="AJ859" s="3"/>
      <c r="AK859" s="3"/>
    </row>
    <row r="860" spans="36:37" ht="12.75">
      <c r="AJ860" s="3"/>
      <c r="AK860" s="3"/>
    </row>
    <row r="861" spans="36:37" ht="12.75">
      <c r="AJ861" s="3"/>
      <c r="AK861" s="3"/>
    </row>
    <row r="862" spans="36:37" ht="12.75">
      <c r="AJ862" s="3"/>
      <c r="AK862" s="3"/>
    </row>
    <row r="863" spans="36:37" ht="12.75">
      <c r="AJ863" s="3"/>
      <c r="AK863" s="3"/>
    </row>
    <row r="864" spans="36:37" ht="12.75">
      <c r="AJ864" s="3"/>
      <c r="AK864" s="3"/>
    </row>
    <row r="865" spans="36:37" ht="12.75">
      <c r="AJ865" s="3"/>
      <c r="AK865" s="3"/>
    </row>
    <row r="866" spans="36:37" ht="12.75">
      <c r="AJ866" s="3"/>
      <c r="AK866" s="3"/>
    </row>
    <row r="867" spans="36:37" ht="12.75">
      <c r="AJ867" s="3"/>
      <c r="AK867" s="3"/>
    </row>
    <row r="868" spans="36:37" ht="12.75">
      <c r="AJ868" s="3"/>
      <c r="AK868" s="3"/>
    </row>
    <row r="869" spans="36:37" ht="12.75">
      <c r="AJ869" s="3"/>
      <c r="AK869" s="3"/>
    </row>
    <row r="870" spans="36:37" ht="12.75">
      <c r="AJ870" s="3"/>
      <c r="AK870" s="3"/>
    </row>
    <row r="871" spans="36:37" ht="12.75">
      <c r="AJ871" s="3"/>
      <c r="AK871" s="3"/>
    </row>
    <row r="872" spans="36:37" ht="12.75">
      <c r="AJ872" s="3"/>
      <c r="AK872" s="3"/>
    </row>
    <row r="873" spans="36:37" ht="12.75">
      <c r="AJ873" s="3"/>
      <c r="AK873" s="3"/>
    </row>
    <row r="874" spans="36:37" ht="12.75">
      <c r="AJ874" s="3"/>
      <c r="AK874" s="3"/>
    </row>
    <row r="875" spans="36:37" ht="12.75">
      <c r="AJ875" s="3"/>
      <c r="AK875" s="3"/>
    </row>
    <row r="876" spans="36:37" ht="12.75">
      <c r="AJ876" s="3"/>
      <c r="AK876" s="3"/>
    </row>
    <row r="877" spans="36:37" ht="12.75">
      <c r="AJ877" s="3"/>
      <c r="AK877" s="3"/>
    </row>
    <row r="878" spans="36:37" ht="12.75">
      <c r="AJ878" s="3"/>
      <c r="AK878" s="3"/>
    </row>
    <row r="879" spans="36:37" ht="12.75">
      <c r="AJ879" s="3"/>
      <c r="AK879" s="3"/>
    </row>
    <row r="880" spans="36:37" ht="12.75">
      <c r="AJ880" s="3"/>
      <c r="AK880" s="3"/>
    </row>
    <row r="881" spans="36:37" ht="12.75">
      <c r="AJ881" s="3"/>
      <c r="AK881" s="3"/>
    </row>
    <row r="882" spans="36:37" ht="12.75">
      <c r="AJ882" s="3"/>
      <c r="AK882" s="3"/>
    </row>
    <row r="883" spans="36:37" ht="12.75">
      <c r="AJ883" s="3"/>
      <c r="AK883" s="3"/>
    </row>
    <row r="884" spans="36:37" ht="12.75">
      <c r="AJ884" s="3"/>
      <c r="AK884" s="3"/>
    </row>
    <row r="885" spans="36:37" ht="12.75">
      <c r="AJ885" s="3"/>
      <c r="AK885" s="3"/>
    </row>
    <row r="886" spans="36:37" ht="12.75">
      <c r="AJ886" s="3"/>
      <c r="AK886" s="3"/>
    </row>
    <row r="887" spans="36:37" ht="12.75">
      <c r="AJ887" s="3"/>
      <c r="AK887" s="3"/>
    </row>
    <row r="888" spans="36:37" ht="12.75">
      <c r="AJ888" s="3"/>
      <c r="AK888" s="3"/>
    </row>
    <row r="889" spans="36:37" ht="12.75">
      <c r="AJ889" s="3"/>
      <c r="AK889" s="3"/>
    </row>
    <row r="890" spans="36:37" ht="12.75">
      <c r="AJ890" s="3"/>
      <c r="AK890" s="3"/>
    </row>
    <row r="891" spans="36:37" ht="12.75">
      <c r="AJ891" s="3"/>
      <c r="AK891" s="3"/>
    </row>
    <row r="892" spans="36:37" ht="12.75">
      <c r="AJ892" s="3"/>
      <c r="AK892" s="3"/>
    </row>
    <row r="893" spans="36:37" ht="12.75">
      <c r="AJ893" s="3"/>
      <c r="AK893" s="3"/>
    </row>
    <row r="894" spans="36:37" ht="12.75">
      <c r="AJ894" s="3"/>
      <c r="AK894" s="3"/>
    </row>
    <row r="895" spans="36:37" ht="12.75">
      <c r="AJ895" s="3"/>
      <c r="AK895" s="3"/>
    </row>
    <row r="896" spans="36:37" ht="12.75">
      <c r="AJ896" s="3"/>
      <c r="AK896" s="3"/>
    </row>
    <row r="897" spans="36:37" ht="12.75">
      <c r="AJ897" s="3"/>
      <c r="AK897" s="3"/>
    </row>
    <row r="898" spans="36:37" ht="12.75">
      <c r="AJ898" s="3"/>
      <c r="AK898" s="3"/>
    </row>
    <row r="899" spans="36:37" ht="12.75">
      <c r="AJ899" s="3"/>
      <c r="AK899" s="3"/>
    </row>
    <row r="900" spans="36:37" ht="12.75">
      <c r="AJ900" s="3"/>
      <c r="AK900" s="3"/>
    </row>
    <row r="901" spans="36:37" ht="12.75">
      <c r="AJ901" s="3"/>
      <c r="AK901" s="3"/>
    </row>
    <row r="902" spans="36:37" ht="12.75">
      <c r="AJ902" s="3"/>
      <c r="AK902" s="3"/>
    </row>
    <row r="903" spans="36:37" ht="12.75">
      <c r="AJ903" s="3"/>
      <c r="AK903" s="3"/>
    </row>
    <row r="904" spans="36:37" ht="12.75">
      <c r="AJ904" s="3"/>
      <c r="AK904" s="3"/>
    </row>
    <row r="905" spans="36:37" ht="12.75">
      <c r="AJ905" s="3"/>
      <c r="AK905" s="3"/>
    </row>
    <row r="906" spans="36:37" ht="12.75">
      <c r="AJ906" s="3"/>
      <c r="AK906" s="3"/>
    </row>
    <row r="907" spans="36:37" ht="12.75">
      <c r="AJ907" s="3"/>
      <c r="AK907" s="3"/>
    </row>
    <row r="908" spans="36:37" ht="12.75">
      <c r="AJ908" s="3"/>
      <c r="AK908" s="3"/>
    </row>
    <row r="909" spans="36:37" ht="12.75">
      <c r="AJ909" s="3"/>
      <c r="AK909" s="3"/>
    </row>
    <row r="910" spans="36:37" ht="12.75">
      <c r="AJ910" s="3"/>
      <c r="AK910" s="3"/>
    </row>
    <row r="911" spans="36:37" ht="12.75">
      <c r="AJ911" s="3"/>
      <c r="AK911" s="3"/>
    </row>
    <row r="912" spans="36:37" ht="12.75">
      <c r="AJ912" s="3"/>
      <c r="AK912" s="3"/>
    </row>
    <row r="913" spans="36:37" ht="12.75">
      <c r="AJ913" s="3"/>
      <c r="AK913" s="3"/>
    </row>
    <row r="914" spans="36:37" ht="12.75">
      <c r="AJ914" s="3"/>
      <c r="AK914" s="3"/>
    </row>
    <row r="915" spans="36:37" ht="12.75">
      <c r="AJ915" s="3"/>
      <c r="AK915" s="3"/>
    </row>
    <row r="916" spans="36:37" ht="12.75">
      <c r="AJ916" s="3"/>
      <c r="AK916" s="3"/>
    </row>
    <row r="917" spans="36:37" ht="12.75">
      <c r="AJ917" s="3"/>
      <c r="AK917" s="3"/>
    </row>
    <row r="918" spans="36:37" ht="12.75">
      <c r="AJ918" s="3"/>
      <c r="AK918" s="3"/>
    </row>
    <row r="919" spans="36:37" ht="12.75">
      <c r="AJ919" s="3"/>
      <c r="AK919" s="3"/>
    </row>
    <row r="920" spans="36:37" ht="12.75">
      <c r="AJ920" s="3"/>
      <c r="AK920" s="3"/>
    </row>
    <row r="921" spans="36:37" ht="12.75">
      <c r="AJ921" s="3"/>
      <c r="AK921" s="3"/>
    </row>
    <row r="922" spans="36:37" ht="12.75">
      <c r="AJ922" s="3"/>
      <c r="AK922" s="3"/>
    </row>
    <row r="923" spans="36:37" ht="12.75">
      <c r="AJ923" s="3"/>
      <c r="AK923" s="3"/>
    </row>
    <row r="924" spans="36:37" ht="12.75">
      <c r="AJ924" s="3"/>
      <c r="AK924" s="3"/>
    </row>
    <row r="925" spans="36:37" ht="12.75">
      <c r="AJ925" s="3"/>
      <c r="AK925" s="3"/>
    </row>
    <row r="926" spans="36:37" ht="12.75">
      <c r="AJ926" s="3"/>
      <c r="AK926" s="3"/>
    </row>
    <row r="927" spans="36:37" ht="12.75">
      <c r="AJ927" s="3"/>
      <c r="AK927" s="3"/>
    </row>
    <row r="928" spans="36:37" ht="12.75">
      <c r="AJ928" s="3"/>
      <c r="AK928" s="3"/>
    </row>
    <row r="929" spans="36:37" ht="12.75">
      <c r="AJ929" s="3"/>
      <c r="AK929" s="3"/>
    </row>
    <row r="930" spans="36:37" ht="12.75">
      <c r="AJ930" s="3"/>
      <c r="AK930" s="3"/>
    </row>
    <row r="931" spans="36:37" ht="12.75">
      <c r="AJ931" s="3"/>
      <c r="AK931" s="3"/>
    </row>
    <row r="932" spans="36:37" ht="12.75">
      <c r="AJ932" s="3"/>
      <c r="AK932" s="3"/>
    </row>
    <row r="933" spans="36:37" ht="12.75">
      <c r="AJ933" s="3"/>
      <c r="AK933" s="3"/>
    </row>
    <row r="934" spans="36:37" ht="12.75">
      <c r="AJ934" s="3"/>
      <c r="AK934" s="3"/>
    </row>
    <row r="935" spans="36:37" ht="12.75">
      <c r="AJ935" s="3"/>
      <c r="AK935" s="3"/>
    </row>
    <row r="936" spans="36:37" ht="12.75">
      <c r="AJ936" s="3"/>
      <c r="AK936" s="3"/>
    </row>
    <row r="937" spans="36:37" ht="12.75">
      <c r="AJ937" s="3"/>
      <c r="AK937" s="3"/>
    </row>
    <row r="938" spans="36:37" ht="12.75">
      <c r="AJ938" s="3"/>
      <c r="AK938" s="3"/>
    </row>
    <row r="939" spans="36:37" ht="12.75">
      <c r="AJ939" s="3"/>
      <c r="AK939" s="3"/>
    </row>
    <row r="940" spans="36:37" ht="12.75">
      <c r="AJ940" s="3"/>
      <c r="AK940" s="3"/>
    </row>
    <row r="941" spans="36:37" ht="12.75">
      <c r="AJ941" s="3"/>
      <c r="AK941" s="3"/>
    </row>
    <row r="942" spans="36:37" ht="12.75">
      <c r="AJ942" s="3"/>
      <c r="AK942" s="3"/>
    </row>
    <row r="943" spans="36:37" ht="12.75">
      <c r="AJ943" s="3"/>
      <c r="AK943" s="3"/>
    </row>
    <row r="944" spans="36:37" ht="12.75">
      <c r="AJ944" s="3"/>
      <c r="AK944" s="3"/>
    </row>
    <row r="945" spans="36:37" ht="12.75">
      <c r="AJ945" s="3"/>
      <c r="AK945" s="3"/>
    </row>
    <row r="946" spans="36:37" ht="12.75">
      <c r="AJ946" s="3"/>
      <c r="AK946" s="3"/>
    </row>
    <row r="947" spans="36:37" ht="12.75">
      <c r="AJ947" s="3"/>
      <c r="AK947" s="3"/>
    </row>
    <row r="948" spans="36:37" ht="12.75">
      <c r="AJ948" s="3"/>
      <c r="AK948" s="3"/>
    </row>
    <row r="949" spans="36:37" ht="12.75">
      <c r="AJ949" s="3"/>
      <c r="AK949" s="3"/>
    </row>
    <row r="950" spans="36:37" ht="12.75">
      <c r="AJ950" s="3"/>
      <c r="AK950" s="3"/>
    </row>
    <row r="951" spans="36:37" ht="12.75">
      <c r="AJ951" s="3"/>
      <c r="AK951" s="3"/>
    </row>
    <row r="952" spans="36:37" ht="12.75">
      <c r="AJ952" s="3"/>
      <c r="AK952" s="3"/>
    </row>
    <row r="953" spans="36:37" ht="12.75">
      <c r="AJ953" s="3"/>
      <c r="AK953" s="3"/>
    </row>
    <row r="954" spans="36:37" ht="12.75">
      <c r="AJ954" s="3"/>
      <c r="AK954" s="3"/>
    </row>
    <row r="955" spans="36:37" ht="12.75">
      <c r="AJ955" s="3"/>
      <c r="AK955" s="3"/>
    </row>
    <row r="956" spans="36:37" ht="12.75">
      <c r="AJ956" s="3"/>
      <c r="AK956" s="3"/>
    </row>
    <row r="957" spans="36:37" ht="12.75">
      <c r="AJ957" s="3"/>
      <c r="AK957" s="3"/>
    </row>
    <row r="958" spans="36:37" ht="12.75">
      <c r="AJ958" s="3"/>
      <c r="AK958" s="3"/>
    </row>
    <row r="959" spans="36:37" ht="12.75">
      <c r="AJ959" s="3"/>
      <c r="AK959" s="3"/>
    </row>
    <row r="960" spans="36:37" ht="12.75">
      <c r="AJ960" s="3"/>
      <c r="AK960" s="3"/>
    </row>
    <row r="961" spans="36:37" ht="12.75">
      <c r="AJ961" s="3"/>
      <c r="AK961" s="3"/>
    </row>
    <row r="962" spans="36:37" ht="12.75">
      <c r="AJ962" s="3"/>
      <c r="AK962" s="3"/>
    </row>
    <row r="963" spans="36:37" ht="12.75">
      <c r="AJ963" s="3"/>
      <c r="AK963" s="3"/>
    </row>
    <row r="964" spans="36:37" ht="12.75">
      <c r="AJ964" s="3"/>
      <c r="AK964" s="3"/>
    </row>
    <row r="965" spans="36:37" ht="12.75">
      <c r="AJ965" s="3"/>
      <c r="AK965" s="3"/>
    </row>
    <row r="966" spans="36:37" ht="12.75">
      <c r="AJ966" s="3"/>
      <c r="AK966" s="3"/>
    </row>
    <row r="967" spans="36:37" ht="12.75">
      <c r="AJ967" s="3"/>
      <c r="AK967" s="3"/>
    </row>
    <row r="968" spans="36:37" ht="12.75">
      <c r="AJ968" s="3"/>
      <c r="AK968" s="3"/>
    </row>
    <row r="969" spans="36:37" ht="12.75">
      <c r="AJ969" s="3"/>
      <c r="AK969" s="3"/>
    </row>
    <row r="970" spans="36:37" ht="12.75">
      <c r="AJ970" s="3"/>
      <c r="AK970" s="3"/>
    </row>
    <row r="971" spans="36:37" ht="12.75">
      <c r="AJ971" s="3"/>
      <c r="AK971" s="3"/>
    </row>
    <row r="972" spans="36:37" ht="12.75">
      <c r="AJ972" s="3"/>
      <c r="AK972" s="3"/>
    </row>
    <row r="973" spans="36:37" ht="12.75">
      <c r="AJ973" s="3"/>
      <c r="AK973" s="3"/>
    </row>
    <row r="974" spans="36:37" ht="12.75">
      <c r="AJ974" s="3"/>
      <c r="AK974" s="3"/>
    </row>
    <row r="975" spans="36:37" ht="12.75">
      <c r="AJ975" s="3"/>
      <c r="AK975" s="3"/>
    </row>
    <row r="976" spans="36:37" ht="12.75">
      <c r="AJ976" s="3"/>
      <c r="AK976" s="3"/>
    </row>
    <row r="977" spans="36:37" ht="12.75">
      <c r="AJ977" s="3"/>
      <c r="AK977" s="3"/>
    </row>
    <row r="978" spans="36:37" ht="12.75">
      <c r="AJ978" s="3"/>
      <c r="AK978" s="3"/>
    </row>
    <row r="979" spans="36:37" ht="12.75">
      <c r="AJ979" s="3"/>
      <c r="AK979" s="3"/>
    </row>
    <row r="980" spans="36:37" ht="12.75">
      <c r="AJ980" s="3"/>
      <c r="AK980" s="3"/>
    </row>
    <row r="981" spans="36:37" ht="12.75">
      <c r="AJ981" s="3"/>
      <c r="AK981" s="3"/>
    </row>
    <row r="982" spans="36:37" ht="12.75">
      <c r="AJ982" s="3"/>
      <c r="AK982" s="3"/>
    </row>
    <row r="983" spans="36:37" ht="12.75">
      <c r="AJ983" s="3"/>
      <c r="AK983" s="3"/>
    </row>
    <row r="984" spans="36:37" ht="12.75">
      <c r="AJ984" s="3"/>
      <c r="AK984" s="3"/>
    </row>
    <row r="985" spans="36:37" ht="12.75">
      <c r="AJ985" s="3"/>
      <c r="AK985" s="3"/>
    </row>
    <row r="986" spans="36:37" ht="12.75">
      <c r="AJ986" s="3"/>
      <c r="AK986" s="3"/>
    </row>
    <row r="987" spans="36:37" ht="12.75">
      <c r="AJ987" s="3"/>
      <c r="AK987" s="3"/>
    </row>
    <row r="988" spans="36:37" ht="12.75">
      <c r="AJ988" s="3"/>
      <c r="AK988" s="3"/>
    </row>
    <row r="989" spans="36:37" ht="12.75">
      <c r="AJ989" s="3"/>
      <c r="AK989" s="3"/>
    </row>
    <row r="990" spans="36:37" ht="12.75">
      <c r="AJ990" s="3"/>
      <c r="AK990" s="3"/>
    </row>
    <row r="991" spans="36:37" ht="12.75">
      <c r="AJ991" s="3"/>
      <c r="AK991" s="3"/>
    </row>
    <row r="992" spans="36:37" ht="12.75">
      <c r="AJ992" s="3"/>
      <c r="AK992" s="3"/>
    </row>
    <row r="993" spans="36:37" ht="12.75">
      <c r="AJ993" s="3"/>
      <c r="AK993" s="3"/>
    </row>
    <row r="994" spans="36:37" ht="12.75">
      <c r="AJ994" s="3"/>
      <c r="AK994" s="3"/>
    </row>
    <row r="995" spans="36:37" ht="12.75">
      <c r="AJ995" s="3"/>
      <c r="AK995" s="3"/>
    </row>
    <row r="996" spans="36:37" ht="12.75">
      <c r="AJ996" s="3"/>
      <c r="AK996" s="3"/>
    </row>
    <row r="997" spans="36:37" ht="12.75">
      <c r="AJ997" s="3"/>
      <c r="AK997" s="3"/>
    </row>
    <row r="998" spans="36:37" ht="12.75">
      <c r="AJ998" s="3"/>
      <c r="AK998" s="3"/>
    </row>
    <row r="999" spans="36:37" ht="12.75">
      <c r="AJ999" s="3"/>
      <c r="AK999" s="3"/>
    </row>
    <row r="1000" spans="36:37" ht="12.75">
      <c r="AJ1000" s="3"/>
      <c r="AK1000" s="3"/>
    </row>
    <row r="1001" spans="36:37" ht="12.75">
      <c r="AJ1001" s="3"/>
      <c r="AK1001" s="3"/>
    </row>
    <row r="1002" spans="36:37" ht="12.75">
      <c r="AJ1002" s="3"/>
      <c r="AK1002" s="3"/>
    </row>
    <row r="1003" spans="36:37" ht="12.75">
      <c r="AJ1003" s="3"/>
      <c r="AK1003" s="3"/>
    </row>
    <row r="1004" spans="36:37" ht="12.75">
      <c r="AJ1004" s="3"/>
      <c r="AK1004" s="3"/>
    </row>
    <row r="1005" spans="36:37" ht="12.75">
      <c r="AJ1005" s="3"/>
      <c r="AK1005" s="3"/>
    </row>
    <row r="1006" spans="36:37" ht="12.75">
      <c r="AJ1006" s="3"/>
      <c r="AK1006" s="3"/>
    </row>
    <row r="1007" spans="36:37" ht="12.75">
      <c r="AJ1007" s="3"/>
      <c r="AK1007" s="3"/>
    </row>
    <row r="1008" spans="36:37" ht="12.75">
      <c r="AJ1008" s="3"/>
      <c r="AK1008" s="3"/>
    </row>
    <row r="1009" spans="36:37" ht="12.75">
      <c r="AJ1009" s="3"/>
      <c r="AK1009" s="3"/>
    </row>
    <row r="1010" spans="36:37" ht="12.75">
      <c r="AJ1010" s="3"/>
      <c r="AK1010" s="3"/>
    </row>
    <row r="1011" spans="36:37" ht="12.75">
      <c r="AJ1011" s="3"/>
      <c r="AK1011" s="3"/>
    </row>
    <row r="1012" spans="36:37" ht="12.75">
      <c r="AJ1012" s="3"/>
      <c r="AK1012" s="3"/>
    </row>
    <row r="1013" spans="36:37" ht="12.75">
      <c r="AJ1013" s="3"/>
      <c r="AK1013" s="3"/>
    </row>
    <row r="1014" spans="36:37" ht="12.75">
      <c r="AJ1014" s="3"/>
      <c r="AK1014" s="3"/>
    </row>
    <row r="1015" spans="36:37" ht="12.75">
      <c r="AJ1015" s="3"/>
      <c r="AK1015" s="3"/>
    </row>
    <row r="1016" spans="36:37" ht="12.75">
      <c r="AJ1016" s="3"/>
      <c r="AK1016" s="3"/>
    </row>
    <row r="1017" spans="36:37" ht="12.75">
      <c r="AJ1017" s="3"/>
      <c r="AK1017" s="3"/>
    </row>
    <row r="1018" spans="36:37" ht="12.75">
      <c r="AJ1018" s="3"/>
      <c r="AK1018" s="3"/>
    </row>
    <row r="1019" spans="36:37" ht="12.75">
      <c r="AJ1019" s="3"/>
      <c r="AK1019" s="3"/>
    </row>
    <row r="1020" spans="36:37" ht="12.75">
      <c r="AJ1020" s="3"/>
      <c r="AK1020" s="3"/>
    </row>
    <row r="1021" spans="36:37" ht="12.75">
      <c r="AJ1021" s="3"/>
      <c r="AK1021" s="3"/>
    </row>
    <row r="1022" spans="36:37" ht="12.75">
      <c r="AJ1022" s="3"/>
      <c r="AK1022" s="3"/>
    </row>
    <row r="1023" spans="36:37" ht="12.75">
      <c r="AJ1023" s="3"/>
      <c r="AK1023" s="3"/>
    </row>
    <row r="1024" spans="36:37" ht="12.75">
      <c r="AJ1024" s="3"/>
      <c r="AK1024" s="3"/>
    </row>
    <row r="1025" spans="36:37" ht="12.75">
      <c r="AJ1025" s="3"/>
      <c r="AK1025" s="3"/>
    </row>
    <row r="1026" spans="36:37" ht="12.75">
      <c r="AJ1026" s="3"/>
      <c r="AK1026" s="3"/>
    </row>
    <row r="1027" spans="36:37" ht="12.75">
      <c r="AJ1027" s="3"/>
      <c r="AK1027" s="3"/>
    </row>
    <row r="1028" spans="36:37" ht="12.75">
      <c r="AJ1028" s="3"/>
      <c r="AK1028" s="3"/>
    </row>
    <row r="1029" spans="36:37" ht="12.75">
      <c r="AJ1029" s="3"/>
      <c r="AK1029" s="3"/>
    </row>
    <row r="1030" spans="36:37" ht="12.75">
      <c r="AJ1030" s="3"/>
      <c r="AK1030" s="3"/>
    </row>
    <row r="1031" spans="36:37" ht="12.75">
      <c r="AJ1031" s="3"/>
      <c r="AK1031" s="3"/>
    </row>
    <row r="1032" spans="36:37" ht="12.75">
      <c r="AJ1032" s="3"/>
      <c r="AK1032" s="3"/>
    </row>
    <row r="1033" spans="36:37" ht="12.75">
      <c r="AJ1033" s="3"/>
      <c r="AK1033" s="3"/>
    </row>
    <row r="1034" spans="36:37" ht="12.75">
      <c r="AJ1034" s="3"/>
      <c r="AK1034" s="3"/>
    </row>
    <row r="1035" spans="36:37" ht="12.75">
      <c r="AJ1035" s="3"/>
      <c r="AK1035" s="3"/>
    </row>
    <row r="1036" spans="36:37" ht="12.75">
      <c r="AJ1036" s="3"/>
      <c r="AK1036" s="3"/>
    </row>
    <row r="1037" spans="36:37" ht="12.75">
      <c r="AJ1037" s="3"/>
      <c r="AK1037" s="3"/>
    </row>
    <row r="1038" spans="36:37" ht="12.75">
      <c r="AJ1038" s="3"/>
      <c r="AK1038" s="3"/>
    </row>
    <row r="1039" spans="36:37" ht="12.75">
      <c r="AJ1039" s="3"/>
      <c r="AK1039" s="3"/>
    </row>
    <row r="1040" spans="36:37" ht="12.75">
      <c r="AJ1040" s="3"/>
      <c r="AK1040" s="3"/>
    </row>
    <row r="1041" spans="36:37" ht="12.75">
      <c r="AJ1041" s="3"/>
      <c r="AK1041" s="3"/>
    </row>
    <row r="1042" spans="36:37" ht="12.75">
      <c r="AJ1042" s="3"/>
      <c r="AK1042" s="3"/>
    </row>
    <row r="1043" spans="36:37" ht="12.75">
      <c r="AJ1043" s="3"/>
      <c r="AK1043" s="3"/>
    </row>
    <row r="1044" spans="36:37" ht="12.75">
      <c r="AJ1044" s="3"/>
      <c r="AK1044" s="3"/>
    </row>
    <row r="1045" spans="36:37" ht="12.75">
      <c r="AJ1045" s="3"/>
      <c r="AK1045" s="3"/>
    </row>
    <row r="1046" spans="36:37" ht="12.75">
      <c r="AJ1046" s="3"/>
      <c r="AK1046" s="3"/>
    </row>
    <row r="1047" spans="36:37" ht="12.75">
      <c r="AJ1047" s="3"/>
      <c r="AK1047" s="3"/>
    </row>
    <row r="1048" spans="36:37" ht="12.75">
      <c r="AJ1048" s="3"/>
      <c r="AK1048" s="3"/>
    </row>
    <row r="1049" spans="36:37" ht="12.75">
      <c r="AJ1049" s="3"/>
      <c r="AK1049" s="3"/>
    </row>
    <row r="1050" spans="36:37" ht="12.75">
      <c r="AJ1050" s="3"/>
      <c r="AK1050" s="3"/>
    </row>
    <row r="1051" spans="36:37" ht="12.75">
      <c r="AJ1051" s="3"/>
      <c r="AK1051" s="3"/>
    </row>
    <row r="1052" spans="36:37" ht="12.75">
      <c r="AJ1052" s="3"/>
      <c r="AK1052" s="3"/>
    </row>
    <row r="1053" spans="36:37" ht="12.75">
      <c r="AJ1053" s="3"/>
      <c r="AK1053" s="3"/>
    </row>
    <row r="1054" spans="36:37" ht="12.75">
      <c r="AJ1054" s="3"/>
      <c r="AK1054" s="3"/>
    </row>
    <row r="1055" spans="36:37" ht="12.75">
      <c r="AJ1055" s="3"/>
      <c r="AK1055" s="3"/>
    </row>
    <row r="1056" spans="36:37" ht="12.75">
      <c r="AJ1056" s="3"/>
      <c r="AK1056" s="3"/>
    </row>
    <row r="1057" spans="36:37" ht="12.75">
      <c r="AJ1057" s="3"/>
      <c r="AK1057" s="3"/>
    </row>
    <row r="1058" spans="36:37" ht="12.75">
      <c r="AJ1058" s="3"/>
      <c r="AK1058" s="3"/>
    </row>
    <row r="1059" spans="36:37" ht="12.75">
      <c r="AJ1059" s="3"/>
      <c r="AK1059" s="3"/>
    </row>
    <row r="1060" spans="36:37" ht="12.75">
      <c r="AJ1060" s="3"/>
      <c r="AK1060" s="3"/>
    </row>
    <row r="1061" spans="36:37" ht="12.75">
      <c r="AJ1061" s="3"/>
      <c r="AK1061" s="3"/>
    </row>
    <row r="1062" spans="36:37" ht="12.75">
      <c r="AJ1062" s="3"/>
      <c r="AK1062" s="3"/>
    </row>
    <row r="1063" spans="36:37" ht="12.75">
      <c r="AJ1063" s="3"/>
      <c r="AK1063" s="3"/>
    </row>
    <row r="1064" spans="36:37" ht="12.75">
      <c r="AJ1064" s="3"/>
      <c r="AK1064" s="3"/>
    </row>
    <row r="1065" spans="36:37" ht="12.75">
      <c r="AJ1065" s="3"/>
      <c r="AK1065" s="3"/>
    </row>
    <row r="1066" spans="36:37" ht="12.75">
      <c r="AJ1066" s="3"/>
      <c r="AK1066" s="3"/>
    </row>
    <row r="1067" spans="36:37" ht="12.75">
      <c r="AJ1067" s="3"/>
      <c r="AK1067" s="3"/>
    </row>
    <row r="1068" spans="36:37" ht="12.75">
      <c r="AJ1068" s="3"/>
      <c r="AK1068" s="3"/>
    </row>
    <row r="1069" spans="36:37" ht="12.75">
      <c r="AJ1069" s="3"/>
      <c r="AK1069" s="3"/>
    </row>
    <row r="1070" spans="36:37" ht="12.75">
      <c r="AJ1070" s="3"/>
      <c r="AK1070" s="3"/>
    </row>
    <row r="1071" spans="36:37" ht="12.75">
      <c r="AJ1071" s="3"/>
      <c r="AK1071" s="3"/>
    </row>
    <row r="1072" spans="36:37" ht="12.75">
      <c r="AJ1072" s="3"/>
      <c r="AK1072" s="3"/>
    </row>
    <row r="1073" spans="36:37" ht="12.75">
      <c r="AJ1073" s="3"/>
      <c r="AK1073" s="3"/>
    </row>
    <row r="1074" spans="36:37" ht="12.75">
      <c r="AJ1074" s="3"/>
      <c r="AK1074" s="3"/>
    </row>
    <row r="1075" spans="36:37" ht="12.75">
      <c r="AJ1075" s="3"/>
      <c r="AK1075" s="3"/>
    </row>
    <row r="1076" spans="36:37" ht="12.75">
      <c r="AJ1076" s="3"/>
      <c r="AK1076" s="3"/>
    </row>
    <row r="1077" spans="36:37" ht="12.75">
      <c r="AJ1077" s="3"/>
      <c r="AK1077" s="3"/>
    </row>
    <row r="1078" spans="36:37" ht="12.75">
      <c r="AJ1078" s="3"/>
      <c r="AK1078" s="3"/>
    </row>
    <row r="1079" spans="36:37" ht="12.75">
      <c r="AJ1079" s="3"/>
      <c r="AK1079" s="3"/>
    </row>
    <row r="1080" spans="36:37" ht="12.75">
      <c r="AJ1080" s="3"/>
      <c r="AK1080" s="3"/>
    </row>
    <row r="1081" spans="36:37" ht="12.75">
      <c r="AJ1081" s="3"/>
      <c r="AK1081" s="3"/>
    </row>
    <row r="1082" spans="36:37" ht="12.75">
      <c r="AJ1082" s="3"/>
      <c r="AK1082" s="3"/>
    </row>
    <row r="1083" spans="36:37" ht="12.75">
      <c r="AJ1083" s="3"/>
      <c r="AK1083" s="3"/>
    </row>
    <row r="1084" spans="36:37" ht="12.75">
      <c r="AJ1084" s="3"/>
      <c r="AK1084" s="3"/>
    </row>
    <row r="1085" spans="36:37" ht="12.75">
      <c r="AJ1085" s="3"/>
      <c r="AK1085" s="3"/>
    </row>
    <row r="1086" spans="36:37" ht="12.75">
      <c r="AJ1086" s="3"/>
      <c r="AK1086" s="3"/>
    </row>
    <row r="1087" spans="36:37" ht="12.75">
      <c r="AJ1087" s="3"/>
      <c r="AK1087" s="3"/>
    </row>
    <row r="1088" spans="36:37" ht="12.75">
      <c r="AJ1088" s="3"/>
      <c r="AK1088" s="3"/>
    </row>
    <row r="1089" spans="36:37" ht="12.75">
      <c r="AJ1089" s="3"/>
      <c r="AK1089" s="3"/>
    </row>
    <row r="1090" spans="36:37" ht="12.75">
      <c r="AJ1090" s="3"/>
      <c r="AK1090" s="3"/>
    </row>
    <row r="1091" spans="36:37" ht="12.75">
      <c r="AJ1091" s="3"/>
      <c r="AK1091" s="3"/>
    </row>
    <row r="1092" spans="36:37" ht="12.75">
      <c r="AJ1092" s="3"/>
      <c r="AK1092" s="3"/>
    </row>
    <row r="1093" spans="36:37" ht="12.75">
      <c r="AJ1093" s="3"/>
      <c r="AK1093" s="3"/>
    </row>
    <row r="1094" spans="36:37" ht="12.75">
      <c r="AJ1094" s="3"/>
      <c r="AK1094" s="3"/>
    </row>
    <row r="1095" spans="36:37" ht="12.75">
      <c r="AJ1095" s="3"/>
      <c r="AK1095" s="3"/>
    </row>
    <row r="1096" spans="36:37" ht="12.75">
      <c r="AJ1096" s="3"/>
      <c r="AK1096" s="3"/>
    </row>
    <row r="1097" spans="36:37" ht="12.75">
      <c r="AJ1097" s="3"/>
      <c r="AK1097" s="3"/>
    </row>
    <row r="1098" spans="36:37" ht="12.75">
      <c r="AJ1098" s="3"/>
      <c r="AK1098" s="3"/>
    </row>
    <row r="1099" spans="36:37" ht="12.75">
      <c r="AJ1099" s="3"/>
      <c r="AK1099" s="3"/>
    </row>
    <row r="1100" spans="36:37" ht="12.75">
      <c r="AJ1100" s="3"/>
      <c r="AK1100" s="3"/>
    </row>
    <row r="1101" spans="36:37" ht="12.75">
      <c r="AJ1101" s="3"/>
      <c r="AK1101" s="3"/>
    </row>
    <row r="1102" spans="36:37" ht="12.75">
      <c r="AJ1102" s="3"/>
      <c r="AK1102" s="3"/>
    </row>
    <row r="1103" spans="36:37" ht="12.75">
      <c r="AJ1103" s="3"/>
      <c r="AK1103" s="3"/>
    </row>
    <row r="1104" spans="36:37" ht="12.75">
      <c r="AJ1104" s="3"/>
      <c r="AK1104" s="3"/>
    </row>
    <row r="1105" spans="36:37" ht="12.75">
      <c r="AJ1105" s="3"/>
      <c r="AK1105" s="3"/>
    </row>
    <row r="1106" spans="36:37" ht="12.75">
      <c r="AJ1106" s="3"/>
      <c r="AK1106" s="3"/>
    </row>
    <row r="1107" spans="36:37" ht="12.75">
      <c r="AJ1107" s="3"/>
      <c r="AK1107" s="3"/>
    </row>
    <row r="1108" spans="36:37" ht="12.75">
      <c r="AJ1108" s="3"/>
      <c r="AK1108" s="3"/>
    </row>
    <row r="1109" spans="36:37" ht="12.75">
      <c r="AJ1109" s="3"/>
      <c r="AK1109" s="3"/>
    </row>
    <row r="1110" spans="36:37" ht="12.75">
      <c r="AJ1110" s="3"/>
      <c r="AK1110" s="3"/>
    </row>
    <row r="1111" spans="36:37" ht="12.75">
      <c r="AJ1111" s="3"/>
      <c r="AK1111" s="3"/>
    </row>
    <row r="1112" spans="36:37" ht="12.75">
      <c r="AJ1112" s="3"/>
      <c r="AK1112" s="3"/>
    </row>
    <row r="1113" spans="36:37" ht="12.75">
      <c r="AJ1113" s="3"/>
      <c r="AK1113" s="3"/>
    </row>
    <row r="1114" spans="36:37" ht="12.75">
      <c r="AJ1114" s="3"/>
      <c r="AK1114" s="3"/>
    </row>
    <row r="1115" spans="36:37" ht="12.75">
      <c r="AJ1115" s="3"/>
      <c r="AK1115" s="3"/>
    </row>
    <row r="1116" spans="36:37" ht="12.75">
      <c r="AJ1116" s="3"/>
      <c r="AK1116" s="3"/>
    </row>
    <row r="1117" spans="36:37" ht="12.75">
      <c r="AJ1117" s="3"/>
      <c r="AK1117" s="3"/>
    </row>
    <row r="1118" spans="36:37" ht="12.75">
      <c r="AJ1118" s="3"/>
      <c r="AK1118" s="3"/>
    </row>
    <row r="1119" spans="36:37" ht="12.75">
      <c r="AJ1119" s="3"/>
      <c r="AK1119" s="3"/>
    </row>
    <row r="1120" spans="36:37" ht="12.75">
      <c r="AJ1120" s="3"/>
      <c r="AK1120" s="3"/>
    </row>
    <row r="1121" spans="36:37" ht="12.75">
      <c r="AJ1121" s="3"/>
      <c r="AK1121" s="3"/>
    </row>
    <row r="1122" spans="36:37" ht="12.75">
      <c r="AJ1122" s="3"/>
      <c r="AK1122" s="3"/>
    </row>
    <row r="1123" spans="36:37" ht="12.75">
      <c r="AJ1123" s="3"/>
      <c r="AK1123" s="3"/>
    </row>
    <row r="1124" spans="36:37" ht="12.75">
      <c r="AJ1124" s="3"/>
      <c r="AK1124" s="3"/>
    </row>
    <row r="1125" spans="36:37" ht="12.75">
      <c r="AJ1125" s="3"/>
      <c r="AK1125" s="3"/>
    </row>
    <row r="1126" spans="36:37" ht="12.75">
      <c r="AJ1126" s="3"/>
      <c r="AK1126" s="3"/>
    </row>
    <row r="1127" spans="36:37" ht="12.75">
      <c r="AJ1127" s="3"/>
      <c r="AK1127" s="3"/>
    </row>
    <row r="1128" spans="36:37" ht="12.75">
      <c r="AJ1128" s="3"/>
      <c r="AK1128" s="3"/>
    </row>
    <row r="1129" spans="36:37" ht="12.75">
      <c r="AJ1129" s="3"/>
      <c r="AK1129" s="3"/>
    </row>
    <row r="1130" spans="36:37" ht="12.75">
      <c r="AJ1130" s="3"/>
      <c r="AK1130" s="3"/>
    </row>
    <row r="1131" spans="36:37" ht="12.75">
      <c r="AJ1131" s="3"/>
      <c r="AK1131" s="3"/>
    </row>
    <row r="1132" spans="36:37" ht="12.75">
      <c r="AJ1132" s="3"/>
      <c r="AK1132" s="3"/>
    </row>
    <row r="1133" spans="36:37" ht="12.75">
      <c r="AJ1133" s="3"/>
      <c r="AK1133" s="3"/>
    </row>
    <row r="1134" spans="36:37" ht="12.75">
      <c r="AJ1134" s="3"/>
      <c r="AK1134" s="3"/>
    </row>
    <row r="1135" spans="36:37" ht="12.75">
      <c r="AJ1135" s="3"/>
      <c r="AK1135" s="3"/>
    </row>
    <row r="1136" spans="36:37" ht="12.75">
      <c r="AJ1136" s="3"/>
      <c r="AK1136" s="3"/>
    </row>
    <row r="1137" spans="36:37" ht="12.75">
      <c r="AJ1137" s="3"/>
      <c r="AK1137" s="3"/>
    </row>
    <row r="1138" spans="36:37" ht="12.75">
      <c r="AJ1138" s="3"/>
      <c r="AK1138" s="3"/>
    </row>
    <row r="1139" spans="36:37" ht="12.75">
      <c r="AJ1139" s="3"/>
      <c r="AK1139" s="3"/>
    </row>
    <row r="1140" spans="36:37" ht="12.75">
      <c r="AJ1140" s="3"/>
      <c r="AK1140" s="3"/>
    </row>
    <row r="1141" spans="36:37" ht="12.75">
      <c r="AJ1141" s="3"/>
      <c r="AK1141" s="3"/>
    </row>
    <row r="1142" spans="36:37" ht="12.75">
      <c r="AJ1142" s="3"/>
      <c r="AK1142" s="3"/>
    </row>
    <row r="1143" spans="36:37" ht="12.75">
      <c r="AJ1143" s="3"/>
      <c r="AK1143" s="3"/>
    </row>
    <row r="1144" spans="36:37" ht="12.75">
      <c r="AJ1144" s="3"/>
      <c r="AK1144" s="3"/>
    </row>
    <row r="1145" spans="36:37" ht="12.75">
      <c r="AJ1145" s="3"/>
      <c r="AK1145" s="3"/>
    </row>
    <row r="1146" spans="36:37" ht="12.75">
      <c r="AJ1146" s="3"/>
      <c r="AK1146" s="3"/>
    </row>
    <row r="1147" spans="36:37" ht="12.75">
      <c r="AJ1147" s="3"/>
      <c r="AK1147" s="3"/>
    </row>
    <row r="1148" spans="36:37" ht="12.75">
      <c r="AJ1148" s="3"/>
      <c r="AK1148" s="3"/>
    </row>
    <row r="1149" spans="36:37" ht="12.75">
      <c r="AJ1149" s="3"/>
      <c r="AK1149" s="3"/>
    </row>
    <row r="1150" spans="36:37" ht="12.75">
      <c r="AJ1150" s="3"/>
      <c r="AK1150" s="3"/>
    </row>
    <row r="1151" spans="36:37" ht="12.75">
      <c r="AJ1151" s="3"/>
      <c r="AK1151" s="3"/>
    </row>
    <row r="1152" spans="36:37" ht="12.75">
      <c r="AJ1152" s="3"/>
      <c r="AK1152" s="3"/>
    </row>
    <row r="1153" spans="36:37" ht="12.75">
      <c r="AJ1153" s="3"/>
      <c r="AK1153" s="3"/>
    </row>
    <row r="1154" spans="36:37" ht="12.75">
      <c r="AJ1154" s="3"/>
      <c r="AK1154" s="3"/>
    </row>
    <row r="1155" spans="36:37" ht="12.75">
      <c r="AJ1155" s="3"/>
      <c r="AK1155" s="3"/>
    </row>
    <row r="1156" spans="36:37" ht="12.75">
      <c r="AJ1156" s="3"/>
      <c r="AK1156" s="3"/>
    </row>
    <row r="1157" spans="36:37" ht="12.75">
      <c r="AJ1157" s="3"/>
      <c r="AK1157" s="3"/>
    </row>
    <row r="1158" spans="36:37" ht="12.75">
      <c r="AJ1158" s="3"/>
      <c r="AK1158" s="3"/>
    </row>
    <row r="1159" spans="36:37" ht="12.75">
      <c r="AJ1159" s="3"/>
      <c r="AK1159" s="3"/>
    </row>
    <row r="1160" spans="36:37" ht="12.75">
      <c r="AJ1160" s="3"/>
      <c r="AK1160" s="3"/>
    </row>
    <row r="1161" spans="36:37" ht="12.75">
      <c r="AJ1161" s="3"/>
      <c r="AK1161" s="3"/>
    </row>
    <row r="1162" spans="36:37" ht="12.75">
      <c r="AJ1162" s="3"/>
      <c r="AK1162" s="3"/>
    </row>
    <row r="1163" spans="36:37" ht="12.75">
      <c r="AJ1163" s="3"/>
      <c r="AK1163" s="3"/>
    </row>
    <row r="1164" spans="36:37" ht="12.75">
      <c r="AJ1164" s="3"/>
      <c r="AK1164" s="3"/>
    </row>
    <row r="1165" spans="36:37" ht="12.75">
      <c r="AJ1165" s="3"/>
      <c r="AK1165" s="3"/>
    </row>
    <row r="1166" spans="36:37" ht="12.75">
      <c r="AJ1166" s="3"/>
      <c r="AK1166" s="3"/>
    </row>
    <row r="1167" spans="36:37" ht="12.75">
      <c r="AJ1167" s="3"/>
      <c r="AK1167" s="3"/>
    </row>
    <row r="1168" spans="36:37" ht="12.75">
      <c r="AJ1168" s="3"/>
      <c r="AK1168" s="3"/>
    </row>
    <row r="1169" spans="36:37" ht="12.75">
      <c r="AJ1169" s="3"/>
      <c r="AK1169" s="3"/>
    </row>
    <row r="1170" spans="36:37" ht="12.75">
      <c r="AJ1170" s="3"/>
      <c r="AK1170" s="3"/>
    </row>
    <row r="1171" spans="36:37" ht="12.75">
      <c r="AJ1171" s="3"/>
      <c r="AK1171" s="3"/>
    </row>
    <row r="1172" spans="36:37" ht="12.75">
      <c r="AJ1172" s="3"/>
      <c r="AK1172" s="3"/>
    </row>
    <row r="1173" spans="36:37" ht="12.75">
      <c r="AJ1173" s="3"/>
      <c r="AK1173" s="3"/>
    </row>
    <row r="1174" spans="36:37" ht="12.75">
      <c r="AJ1174" s="3"/>
      <c r="AK1174" s="3"/>
    </row>
    <row r="1175" spans="36:37" ht="12.75">
      <c r="AJ1175" s="3"/>
      <c r="AK1175" s="3"/>
    </row>
    <row r="1176" spans="36:37" ht="12.75">
      <c r="AJ1176" s="3"/>
      <c r="AK1176" s="3"/>
    </row>
    <row r="1177" spans="36:37" ht="12.75">
      <c r="AJ1177" s="3"/>
      <c r="AK1177" s="3"/>
    </row>
    <row r="1178" spans="36:37" ht="12.75">
      <c r="AJ1178" s="3"/>
      <c r="AK1178" s="3"/>
    </row>
    <row r="1179" spans="36:37" ht="12.75">
      <c r="AJ1179" s="3"/>
      <c r="AK1179" s="3"/>
    </row>
    <row r="1180" spans="36:37" ht="12.75">
      <c r="AJ1180" s="3"/>
      <c r="AK1180" s="3"/>
    </row>
    <row r="1181" spans="36:37" ht="12.75">
      <c r="AJ1181" s="3"/>
      <c r="AK1181" s="3"/>
    </row>
    <row r="1182" spans="36:37" ht="12.75">
      <c r="AJ1182" s="3"/>
      <c r="AK1182" s="3"/>
    </row>
    <row r="1183" spans="36:37" ht="12.75">
      <c r="AJ1183" s="3"/>
      <c r="AK1183" s="3"/>
    </row>
    <row r="1184" spans="36:37" ht="12.75">
      <c r="AJ1184" s="3"/>
      <c r="AK1184" s="3"/>
    </row>
    <row r="1185" spans="36:37" ht="12.75">
      <c r="AJ1185" s="3"/>
      <c r="AK1185" s="3"/>
    </row>
    <row r="1186" spans="36:37" ht="12.75">
      <c r="AJ1186" s="3"/>
      <c r="AK1186" s="3"/>
    </row>
    <row r="1187" spans="36:37" ht="12.75">
      <c r="AJ1187" s="3"/>
      <c r="AK1187" s="3"/>
    </row>
    <row r="1188" spans="36:37" ht="12.75">
      <c r="AJ1188" s="3"/>
      <c r="AK1188" s="3"/>
    </row>
    <row r="1189" spans="36:37" ht="12.75">
      <c r="AJ1189" s="3"/>
      <c r="AK1189" s="3"/>
    </row>
    <row r="1190" spans="36:37" ht="12.75">
      <c r="AJ1190" s="3"/>
      <c r="AK1190" s="3"/>
    </row>
    <row r="1191" spans="36:37" ht="12.75">
      <c r="AJ1191" s="3"/>
      <c r="AK1191" s="3"/>
    </row>
    <row r="1192" spans="36:37" ht="12.75">
      <c r="AJ1192" s="3"/>
      <c r="AK1192" s="3"/>
    </row>
    <row r="1193" spans="36:37" ht="12.75">
      <c r="AJ1193" s="3"/>
      <c r="AK1193" s="3"/>
    </row>
    <row r="1194" spans="36:37" ht="12.75">
      <c r="AJ1194" s="3"/>
      <c r="AK1194" s="3"/>
    </row>
    <row r="1195" spans="36:37" ht="12.75">
      <c r="AJ1195" s="3"/>
      <c r="AK1195" s="3"/>
    </row>
    <row r="1196" spans="36:37" ht="12.75">
      <c r="AJ1196" s="3"/>
      <c r="AK1196" s="3"/>
    </row>
    <row r="1197" spans="36:37" ht="12.75">
      <c r="AJ1197" s="3"/>
      <c r="AK1197" s="3"/>
    </row>
    <row r="1198" spans="36:37" ht="12.75">
      <c r="AJ1198" s="3"/>
      <c r="AK1198" s="3"/>
    </row>
    <row r="1199" spans="36:37" ht="12.75">
      <c r="AJ1199" s="3"/>
      <c r="AK1199" s="3"/>
    </row>
    <row r="1200" spans="36:37" ht="12.75">
      <c r="AJ1200" s="3"/>
      <c r="AK1200" s="3"/>
    </row>
    <row r="1201" spans="36:37" ht="12.75">
      <c r="AJ1201" s="3"/>
      <c r="AK1201" s="3"/>
    </row>
    <row r="1202" spans="36:37" ht="12.75">
      <c r="AJ1202" s="3"/>
      <c r="AK1202" s="3"/>
    </row>
    <row r="1203" spans="36:37" ht="12.75">
      <c r="AJ1203" s="3"/>
      <c r="AK1203" s="3"/>
    </row>
    <row r="1204" spans="36:37" ht="12.75">
      <c r="AJ1204" s="3"/>
      <c r="AK1204" s="3"/>
    </row>
    <row r="1205" spans="36:37" ht="12.75">
      <c r="AJ1205" s="3"/>
      <c r="AK1205" s="3"/>
    </row>
    <row r="1206" spans="36:37" ht="12.75">
      <c r="AJ1206" s="3"/>
      <c r="AK1206" s="3"/>
    </row>
    <row r="1207" spans="36:37" ht="12.75">
      <c r="AJ1207" s="3"/>
      <c r="AK1207" s="3"/>
    </row>
    <row r="1208" spans="36:37" ht="12.75">
      <c r="AJ1208" s="3"/>
      <c r="AK1208" s="3"/>
    </row>
    <row r="1209" spans="36:37" ht="12.75">
      <c r="AJ1209" s="3"/>
      <c r="AK1209" s="3"/>
    </row>
    <row r="1210" spans="36:37" ht="12.75">
      <c r="AJ1210" s="3"/>
      <c r="AK1210" s="3"/>
    </row>
    <row r="1211" spans="36:37" ht="12.75">
      <c r="AJ1211" s="3"/>
      <c r="AK1211" s="3"/>
    </row>
    <row r="1212" spans="36:37" ht="12.75">
      <c r="AJ1212" s="3"/>
      <c r="AK1212" s="3"/>
    </row>
    <row r="1213" spans="36:37" ht="12.75">
      <c r="AJ1213" s="3"/>
      <c r="AK1213" s="3"/>
    </row>
    <row r="1214" spans="36:37" ht="12.75">
      <c r="AJ1214" s="3"/>
      <c r="AK1214" s="3"/>
    </row>
    <row r="1215" spans="36:37" ht="12.75">
      <c r="AJ1215" s="3"/>
      <c r="AK1215" s="3"/>
    </row>
    <row r="1216" spans="36:37" ht="12.75">
      <c r="AJ1216" s="3"/>
      <c r="AK1216" s="3"/>
    </row>
    <row r="1217" spans="36:37" ht="12.75">
      <c r="AJ1217" s="3"/>
      <c r="AK1217" s="3"/>
    </row>
    <row r="1218" spans="36:37" ht="12.75">
      <c r="AJ1218" s="3"/>
      <c r="AK1218" s="3"/>
    </row>
    <row r="1219" spans="36:37" ht="12.75">
      <c r="AJ1219" s="3"/>
      <c r="AK1219" s="3"/>
    </row>
    <row r="1220" spans="36:37" ht="12.75">
      <c r="AJ1220" s="3"/>
      <c r="AK1220" s="3"/>
    </row>
    <row r="1221" spans="36:37" ht="12.75">
      <c r="AJ1221" s="3"/>
      <c r="AK1221" s="3"/>
    </row>
    <row r="1222" spans="36:37" ht="12.75">
      <c r="AJ1222" s="3"/>
      <c r="AK1222" s="3"/>
    </row>
    <row r="1223" spans="36:37" ht="12.75">
      <c r="AJ1223" s="3"/>
      <c r="AK1223" s="3"/>
    </row>
    <row r="1224" spans="36:37" ht="12.75">
      <c r="AJ1224" s="3"/>
      <c r="AK1224" s="3"/>
    </row>
    <row r="1225" spans="36:37" ht="12.75">
      <c r="AJ1225" s="3"/>
      <c r="AK1225" s="3"/>
    </row>
    <row r="1226" spans="36:37" ht="12.75">
      <c r="AJ1226" s="3"/>
      <c r="AK1226" s="3"/>
    </row>
    <row r="1227" spans="36:37" ht="12.75">
      <c r="AJ1227" s="3"/>
      <c r="AK1227" s="3"/>
    </row>
    <row r="1228" spans="36:37" ht="12.75">
      <c r="AJ1228" s="3"/>
      <c r="AK1228" s="3"/>
    </row>
    <row r="1229" spans="36:37" ht="12.75">
      <c r="AJ1229" s="3"/>
      <c r="AK1229" s="3"/>
    </row>
    <row r="1230" spans="36:37" ht="12.75">
      <c r="AJ1230" s="3"/>
      <c r="AK1230" s="3"/>
    </row>
    <row r="1231" spans="36:37" ht="12.75">
      <c r="AJ1231" s="3"/>
      <c r="AK1231" s="3"/>
    </row>
    <row r="1232" spans="36:37" ht="12.75">
      <c r="AJ1232" s="3"/>
      <c r="AK1232" s="3"/>
    </row>
    <row r="1233" spans="36:37" ht="12.75">
      <c r="AJ1233" s="3"/>
      <c r="AK1233" s="3"/>
    </row>
    <row r="1234" spans="36:37" ht="12.75">
      <c r="AJ1234" s="3"/>
      <c r="AK1234" s="3"/>
    </row>
    <row r="1235" spans="36:37" ht="12.75">
      <c r="AJ1235" s="3"/>
      <c r="AK1235" s="3"/>
    </row>
    <row r="1236" spans="36:37" ht="12.75">
      <c r="AJ1236" s="3"/>
      <c r="AK1236" s="3"/>
    </row>
    <row r="1237" spans="36:37" ht="12.75">
      <c r="AJ1237" s="3"/>
      <c r="AK1237" s="3"/>
    </row>
    <row r="1238" spans="36:37" ht="12.75">
      <c r="AJ1238" s="3"/>
      <c r="AK1238" s="3"/>
    </row>
    <row r="1239" spans="36:37" ht="12.75">
      <c r="AJ1239" s="3"/>
      <c r="AK1239" s="3"/>
    </row>
    <row r="1240" spans="36:37" ht="12.75">
      <c r="AJ1240" s="3"/>
      <c r="AK1240" s="3"/>
    </row>
    <row r="1241" spans="36:37" ht="12.75">
      <c r="AJ1241" s="3"/>
      <c r="AK1241" s="3"/>
    </row>
    <row r="1242" spans="36:37" ht="12.75">
      <c r="AJ1242" s="3"/>
      <c r="AK1242" s="3"/>
    </row>
    <row r="1243" spans="36:37" ht="12.75">
      <c r="AJ1243" s="3"/>
      <c r="AK1243" s="3"/>
    </row>
    <row r="1244" spans="36:37" ht="12.75">
      <c r="AJ1244" s="3"/>
      <c r="AK1244" s="3"/>
    </row>
    <row r="1245" spans="36:37" ht="12.75">
      <c r="AJ1245" s="3"/>
      <c r="AK1245" s="3"/>
    </row>
    <row r="1246" spans="36:37" ht="12.75">
      <c r="AJ1246" s="3"/>
      <c r="AK1246" s="3"/>
    </row>
    <row r="1247" spans="36:37" ht="12.75">
      <c r="AJ1247" s="3"/>
      <c r="AK1247" s="3"/>
    </row>
    <row r="1248" spans="36:37" ht="12.75">
      <c r="AJ1248" s="3"/>
      <c r="AK1248" s="3"/>
    </row>
    <row r="1249" spans="36:37" ht="12.75">
      <c r="AJ1249" s="3"/>
      <c r="AK1249" s="3"/>
    </row>
    <row r="1250" spans="36:37" ht="12.75">
      <c r="AJ1250" s="3"/>
      <c r="AK1250" s="3"/>
    </row>
    <row r="1251" spans="36:37" ht="12.75">
      <c r="AJ1251" s="3"/>
      <c r="AK1251" s="3"/>
    </row>
    <row r="1252" spans="36:37" ht="12.75">
      <c r="AJ1252" s="3"/>
      <c r="AK1252" s="3"/>
    </row>
    <row r="1253" spans="36:37" ht="12.75">
      <c r="AJ1253" s="3"/>
      <c r="AK1253" s="3"/>
    </row>
    <row r="1254" spans="36:37" ht="12.75">
      <c r="AJ1254" s="3"/>
      <c r="AK1254" s="3"/>
    </row>
    <row r="1255" spans="36:37" ht="12.75">
      <c r="AJ1255" s="3"/>
      <c r="AK1255" s="3"/>
    </row>
    <row r="1256" spans="36:37" ht="12.75">
      <c r="AJ1256" s="3"/>
      <c r="AK1256" s="3"/>
    </row>
    <row r="1257" spans="36:37" ht="12.75">
      <c r="AJ1257" s="3"/>
      <c r="AK1257" s="3"/>
    </row>
    <row r="1258" spans="36:37" ht="12.75">
      <c r="AJ1258" s="3"/>
      <c r="AK1258" s="3"/>
    </row>
    <row r="1259" spans="36:37" ht="12.75">
      <c r="AJ1259" s="3"/>
      <c r="AK1259" s="3"/>
    </row>
    <row r="1260" spans="36:37" ht="12.75">
      <c r="AJ1260" s="3"/>
      <c r="AK1260" s="3"/>
    </row>
    <row r="1261" spans="36:37" ht="12.75">
      <c r="AJ1261" s="3"/>
      <c r="AK1261" s="3"/>
    </row>
    <row r="1262" spans="36:37" ht="12.75">
      <c r="AJ1262" s="3"/>
      <c r="AK1262" s="3"/>
    </row>
    <row r="1263" spans="36:37" ht="12.75">
      <c r="AJ1263" s="3"/>
      <c r="AK1263" s="3"/>
    </row>
    <row r="1264" spans="36:37" ht="12.75">
      <c r="AJ1264" s="3"/>
      <c r="AK1264" s="3"/>
    </row>
    <row r="1265" spans="36:37" ht="12.75">
      <c r="AJ1265" s="3"/>
      <c r="AK1265" s="3"/>
    </row>
    <row r="1266" spans="36:37" ht="12.75">
      <c r="AJ1266" s="3"/>
      <c r="AK1266" s="3"/>
    </row>
    <row r="1267" spans="36:37" ht="12.75">
      <c r="AJ1267" s="3"/>
      <c r="AK1267" s="3"/>
    </row>
    <row r="1268" spans="36:37" ht="12.75">
      <c r="AJ1268" s="3"/>
      <c r="AK1268" s="3"/>
    </row>
    <row r="1269" spans="36:37" ht="12.75">
      <c r="AJ1269" s="3"/>
      <c r="AK1269" s="3"/>
    </row>
    <row r="1270" spans="36:37" ht="12.75">
      <c r="AJ1270" s="3"/>
      <c r="AK1270" s="3"/>
    </row>
    <row r="1271" spans="36:37" ht="12.75">
      <c r="AJ1271" s="3"/>
      <c r="AK1271" s="3"/>
    </row>
    <row r="1272" spans="36:37" ht="12.75">
      <c r="AJ1272" s="3"/>
      <c r="AK1272" s="3"/>
    </row>
    <row r="1273" spans="36:37" ht="12.75">
      <c r="AJ1273" s="3"/>
      <c r="AK1273" s="3"/>
    </row>
    <row r="1274" spans="36:37" ht="12.75">
      <c r="AJ1274" s="3"/>
      <c r="AK1274" s="3"/>
    </row>
    <row r="1275" spans="36:37" ht="12.75">
      <c r="AJ1275" s="3"/>
      <c r="AK1275" s="3"/>
    </row>
    <row r="1276" spans="36:37" ht="12.75">
      <c r="AJ1276" s="3"/>
      <c r="AK1276" s="3"/>
    </row>
    <row r="1277" spans="36:37" ht="12.75">
      <c r="AJ1277" s="3"/>
      <c r="AK1277" s="3"/>
    </row>
    <row r="1278" spans="36:37" ht="12.75">
      <c r="AJ1278" s="3"/>
      <c r="AK1278" s="3"/>
    </row>
    <row r="1279" spans="36:37" ht="12.75">
      <c r="AJ1279" s="3"/>
      <c r="AK1279" s="3"/>
    </row>
    <row r="1280" spans="36:37" ht="12.75">
      <c r="AJ1280" s="3"/>
      <c r="AK1280" s="3"/>
    </row>
    <row r="1281" spans="36:37" ht="12.75">
      <c r="AJ1281" s="3"/>
      <c r="AK1281" s="3"/>
    </row>
    <row r="1282" spans="36:37" ht="12.75">
      <c r="AJ1282" s="3"/>
      <c r="AK1282" s="3"/>
    </row>
    <row r="1283" spans="36:37" ht="12.75">
      <c r="AJ1283" s="3"/>
      <c r="AK1283" s="3"/>
    </row>
    <row r="1284" spans="36:37" ht="12.75">
      <c r="AJ1284" s="3"/>
      <c r="AK1284" s="3"/>
    </row>
    <row r="1285" spans="36:37" ht="12.75">
      <c r="AJ1285" s="3"/>
      <c r="AK1285" s="3"/>
    </row>
    <row r="1286" spans="36:37" ht="12.75">
      <c r="AJ1286" s="3"/>
      <c r="AK1286" s="3"/>
    </row>
    <row r="1287" spans="36:37" ht="12.75">
      <c r="AJ1287" s="3"/>
      <c r="AK1287" s="3"/>
    </row>
    <row r="1288" spans="36:37" ht="12.75">
      <c r="AJ1288" s="3"/>
      <c r="AK1288" s="3"/>
    </row>
    <row r="1289" spans="36:37" ht="12.75">
      <c r="AJ1289" s="3"/>
      <c r="AK1289" s="3"/>
    </row>
    <row r="1290" spans="36:37" ht="12.75">
      <c r="AJ1290" s="3"/>
      <c r="AK1290" s="3"/>
    </row>
    <row r="1291" spans="36:37" ht="12.75">
      <c r="AJ1291" s="3"/>
      <c r="AK1291" s="3"/>
    </row>
    <row r="1292" spans="36:37" ht="12.75">
      <c r="AJ1292" s="3"/>
      <c r="AK1292" s="3"/>
    </row>
    <row r="1293" spans="36:37" ht="12.75">
      <c r="AJ1293" s="3"/>
      <c r="AK1293" s="3"/>
    </row>
    <row r="1294" spans="36:37" ht="12.75">
      <c r="AJ1294" s="3"/>
      <c r="AK1294" s="3"/>
    </row>
    <row r="1295" spans="36:37" ht="12.75">
      <c r="AJ1295" s="3"/>
      <c r="AK1295" s="3"/>
    </row>
    <row r="1296" spans="36:37" ht="12.75">
      <c r="AJ1296" s="3"/>
      <c r="AK1296" s="3"/>
    </row>
    <row r="1297" spans="36:37" ht="12.75">
      <c r="AJ1297" s="3"/>
      <c r="AK1297" s="3"/>
    </row>
    <row r="1298" spans="36:37" ht="12.75">
      <c r="AJ1298" s="3"/>
      <c r="AK1298" s="3"/>
    </row>
    <row r="1299" spans="36:37" ht="12.75">
      <c r="AJ1299" s="3"/>
      <c r="AK1299" s="3"/>
    </row>
    <row r="1300" spans="36:37" ht="12.75">
      <c r="AJ1300" s="3"/>
      <c r="AK1300" s="3"/>
    </row>
    <row r="1301" spans="36:37" ht="12.75">
      <c r="AJ1301" s="3"/>
      <c r="AK1301" s="3"/>
    </row>
    <row r="1302" spans="36:37" ht="12.75">
      <c r="AJ1302" s="3"/>
      <c r="AK1302" s="3"/>
    </row>
    <row r="1303" spans="36:37" ht="12.75">
      <c r="AJ1303" s="3"/>
      <c r="AK1303" s="3"/>
    </row>
    <row r="1304" spans="36:37" ht="12.75">
      <c r="AJ1304" s="3"/>
      <c r="AK1304" s="3"/>
    </row>
    <row r="1305" spans="36:37" ht="12.75">
      <c r="AJ1305" s="3"/>
      <c r="AK1305" s="3"/>
    </row>
    <row r="1306" spans="36:37" ht="12.75">
      <c r="AJ1306" s="3"/>
      <c r="AK1306" s="3"/>
    </row>
    <row r="1307" spans="36:37" ht="12.75">
      <c r="AJ1307" s="3"/>
      <c r="AK1307" s="3"/>
    </row>
    <row r="1308" spans="36:37" ht="12.75">
      <c r="AJ1308" s="3"/>
      <c r="AK1308" s="3"/>
    </row>
    <row r="1309" spans="36:37" ht="12.75">
      <c r="AJ1309" s="3"/>
      <c r="AK1309" s="3"/>
    </row>
    <row r="1310" spans="36:37" ht="12.75">
      <c r="AJ1310" s="3"/>
      <c r="AK1310" s="3"/>
    </row>
    <row r="1311" spans="36:37" ht="12.75">
      <c r="AJ1311" s="3"/>
      <c r="AK1311" s="3"/>
    </row>
    <row r="1312" spans="36:37" ht="12.75">
      <c r="AJ1312" s="3"/>
      <c r="AK1312" s="3"/>
    </row>
    <row r="1313" spans="36:37" ht="12.75">
      <c r="AJ1313" s="3"/>
      <c r="AK1313" s="3"/>
    </row>
    <row r="1314" spans="36:37" ht="12.75">
      <c r="AJ1314" s="3"/>
      <c r="AK1314" s="3"/>
    </row>
    <row r="1315" spans="36:37" ht="12.75">
      <c r="AJ1315" s="3"/>
      <c r="AK1315" s="3"/>
    </row>
    <row r="1316" spans="36:37" ht="12.75">
      <c r="AJ1316" s="3"/>
      <c r="AK1316" s="3"/>
    </row>
    <row r="1317" spans="36:37" ht="12.75">
      <c r="AJ1317" s="3"/>
      <c r="AK1317" s="3"/>
    </row>
    <row r="1318" spans="36:37" ht="12.75">
      <c r="AJ1318" s="3"/>
      <c r="AK1318" s="3"/>
    </row>
    <row r="1319" spans="36:37" ht="12.75">
      <c r="AJ1319" s="3"/>
      <c r="AK1319" s="3"/>
    </row>
    <row r="1320" spans="36:37" ht="12.75">
      <c r="AJ1320" s="3"/>
      <c r="AK1320" s="3"/>
    </row>
    <row r="1321" spans="36:37" ht="12.75">
      <c r="AJ1321" s="3"/>
      <c r="AK1321" s="3"/>
    </row>
    <row r="1322" spans="36:37" ht="12.75">
      <c r="AJ1322" s="3"/>
      <c r="AK1322" s="3"/>
    </row>
    <row r="1323" spans="36:37" ht="12.75">
      <c r="AJ1323" s="3"/>
      <c r="AK1323" s="3"/>
    </row>
    <row r="1324" spans="36:37" ht="12.75">
      <c r="AJ1324" s="3"/>
      <c r="AK1324" s="3"/>
    </row>
    <row r="1325" spans="36:37" ht="12.75">
      <c r="AJ1325" s="3"/>
      <c r="AK1325" s="3"/>
    </row>
    <row r="1326" spans="36:37" ht="12.75">
      <c r="AJ1326" s="3"/>
      <c r="AK1326" s="3"/>
    </row>
    <row r="1327" spans="36:37" ht="12.75">
      <c r="AJ1327" s="3"/>
      <c r="AK1327" s="3"/>
    </row>
    <row r="1328" spans="36:37" ht="12.75">
      <c r="AJ1328" s="3"/>
      <c r="AK1328" s="3"/>
    </row>
    <row r="1329" spans="36:37" ht="12.75">
      <c r="AJ1329" s="3"/>
      <c r="AK1329" s="3"/>
    </row>
    <row r="1330" spans="36:37" ht="12.75">
      <c r="AJ1330" s="3"/>
      <c r="AK1330" s="3"/>
    </row>
    <row r="1331" spans="36:37" ht="12.75">
      <c r="AJ1331" s="3"/>
      <c r="AK1331" s="3"/>
    </row>
    <row r="1332" spans="36:37" ht="12.75">
      <c r="AJ1332" s="3"/>
      <c r="AK1332" s="3"/>
    </row>
    <row r="1333" spans="36:37" ht="12.75">
      <c r="AJ1333" s="3"/>
      <c r="AK1333" s="3"/>
    </row>
    <row r="1334" spans="36:37" ht="12.75">
      <c r="AJ1334" s="3"/>
      <c r="AK1334" s="3"/>
    </row>
    <row r="1335" spans="36:37" ht="12.75">
      <c r="AJ1335" s="3"/>
      <c r="AK1335" s="3"/>
    </row>
    <row r="1336" spans="36:37" ht="12.75">
      <c r="AJ1336" s="3"/>
      <c r="AK1336" s="3"/>
    </row>
    <row r="1337" spans="36:37" ht="12.75">
      <c r="AJ1337" s="3"/>
      <c r="AK1337" s="3"/>
    </row>
    <row r="1338" spans="36:37" ht="12.75">
      <c r="AJ1338" s="3"/>
      <c r="AK1338" s="3"/>
    </row>
    <row r="1339" spans="36:37" ht="12.75">
      <c r="AJ1339" s="3"/>
      <c r="AK1339" s="3"/>
    </row>
    <row r="1340" spans="36:37" ht="12.75">
      <c r="AJ1340" s="3"/>
      <c r="AK1340" s="3"/>
    </row>
    <row r="1341" spans="36:37" ht="12.75">
      <c r="AJ1341" s="3"/>
      <c r="AK1341" s="3"/>
    </row>
    <row r="1342" spans="36:37" ht="12.75">
      <c r="AJ1342" s="3"/>
      <c r="AK1342" s="3"/>
    </row>
    <row r="1343" spans="36:37" ht="12.75">
      <c r="AJ1343" s="3"/>
      <c r="AK1343" s="3"/>
    </row>
    <row r="1344" spans="36:37" ht="12.75">
      <c r="AJ1344" s="3"/>
      <c r="AK1344" s="3"/>
    </row>
    <row r="1345" spans="36:37" ht="12.75">
      <c r="AJ1345" s="3"/>
      <c r="AK1345" s="3"/>
    </row>
    <row r="1346" spans="36:37" ht="12.75">
      <c r="AJ1346" s="3"/>
      <c r="AK1346" s="3"/>
    </row>
    <row r="1347" spans="36:37" ht="12.75">
      <c r="AJ1347" s="3"/>
      <c r="AK1347" s="3"/>
    </row>
    <row r="1348" spans="36:37" ht="12.75">
      <c r="AJ1348" s="3"/>
      <c r="AK1348" s="3"/>
    </row>
    <row r="1349" spans="36:37" ht="12.75">
      <c r="AJ1349" s="3"/>
      <c r="AK1349" s="3"/>
    </row>
    <row r="1350" spans="36:37" ht="12.75">
      <c r="AJ1350" s="3"/>
      <c r="AK1350" s="3"/>
    </row>
    <row r="1351" spans="36:37" ht="12.75">
      <c r="AJ1351" s="3"/>
      <c r="AK1351" s="3"/>
    </row>
    <row r="1352" spans="36:37" ht="12.75">
      <c r="AJ1352" s="3"/>
      <c r="AK1352" s="3"/>
    </row>
    <row r="1353" spans="36:37" ht="12.75">
      <c r="AJ1353" s="3"/>
      <c r="AK1353" s="3"/>
    </row>
    <row r="1354" spans="36:37" ht="12.75">
      <c r="AJ1354" s="3"/>
      <c r="AK1354" s="3"/>
    </row>
    <row r="1355" spans="36:37" ht="12.75">
      <c r="AJ1355" s="3"/>
      <c r="AK1355" s="3"/>
    </row>
    <row r="1356" spans="36:37" ht="12.75">
      <c r="AJ1356" s="3"/>
      <c r="AK1356" s="3"/>
    </row>
    <row r="1357" spans="36:37" ht="12.75">
      <c r="AJ1357" s="3"/>
      <c r="AK1357" s="3"/>
    </row>
    <row r="1358" spans="36:37" ht="12.75">
      <c r="AJ1358" s="3"/>
      <c r="AK1358" s="3"/>
    </row>
    <row r="1359" spans="36:37" ht="12.75">
      <c r="AJ1359" s="3"/>
      <c r="AK1359" s="3"/>
    </row>
    <row r="1360" spans="36:37" ht="12.75">
      <c r="AJ1360" s="3"/>
      <c r="AK1360" s="3"/>
    </row>
    <row r="1361" spans="36:37" ht="12.75">
      <c r="AJ1361" s="3"/>
      <c r="AK1361" s="3"/>
    </row>
    <row r="1362" spans="36:37" ht="12.75">
      <c r="AJ1362" s="3"/>
      <c r="AK1362" s="3"/>
    </row>
    <row r="1363" spans="36:37" ht="12.75">
      <c r="AJ1363" s="3"/>
      <c r="AK1363" s="3"/>
    </row>
    <row r="1364" spans="36:37" ht="12.75">
      <c r="AJ1364" s="3"/>
      <c r="AK1364" s="3"/>
    </row>
    <row r="1365" spans="36:37" ht="12.75">
      <c r="AJ1365" s="3"/>
      <c r="AK1365" s="3"/>
    </row>
    <row r="1366" spans="36:37" ht="12.75">
      <c r="AJ1366" s="3"/>
      <c r="AK1366" s="3"/>
    </row>
    <row r="1367" spans="36:37" ht="12.75">
      <c r="AJ1367" s="3"/>
      <c r="AK1367" s="3"/>
    </row>
    <row r="1368" spans="36:37" ht="12.75">
      <c r="AJ1368" s="3"/>
      <c r="AK1368" s="3"/>
    </row>
    <row r="1369" spans="36:37" ht="12.75">
      <c r="AJ1369" s="3"/>
      <c r="AK1369" s="3"/>
    </row>
    <row r="1370" spans="36:37" ht="12.75">
      <c r="AJ1370" s="3"/>
      <c r="AK1370" s="3"/>
    </row>
    <row r="1371" spans="36:37" ht="12.75">
      <c r="AJ1371" s="3"/>
      <c r="AK1371" s="3"/>
    </row>
    <row r="1372" spans="36:37" ht="12.75">
      <c r="AJ1372" s="3"/>
      <c r="AK1372" s="3"/>
    </row>
    <row r="1373" spans="36:37" ht="12.75">
      <c r="AJ1373" s="3"/>
      <c r="AK1373" s="3"/>
    </row>
    <row r="1374" spans="36:37" ht="12.75">
      <c r="AJ1374" s="3"/>
      <c r="AK1374" s="3"/>
    </row>
    <row r="1375" spans="36:37" ht="12.75">
      <c r="AJ1375" s="3"/>
      <c r="AK1375" s="3"/>
    </row>
    <row r="1376" spans="36:37" ht="12.75">
      <c r="AJ1376" s="3"/>
      <c r="AK1376" s="3"/>
    </row>
    <row r="1377" spans="36:37" ht="12.75">
      <c r="AJ1377" s="3"/>
      <c r="AK1377" s="3"/>
    </row>
    <row r="1378" spans="36:37" ht="12.75">
      <c r="AJ1378" s="3"/>
      <c r="AK1378" s="3"/>
    </row>
    <row r="1379" spans="36:37" ht="12.75">
      <c r="AJ1379" s="3"/>
      <c r="AK1379" s="3"/>
    </row>
    <row r="1380" spans="36:37" ht="12.75">
      <c r="AJ1380" s="3"/>
      <c r="AK1380" s="3"/>
    </row>
    <row r="1381" spans="36:37" ht="12.75">
      <c r="AJ1381" s="3"/>
      <c r="AK1381" s="3"/>
    </row>
    <row r="1382" spans="36:37" ht="12.75">
      <c r="AJ1382" s="3"/>
      <c r="AK1382" s="3"/>
    </row>
    <row r="1383" spans="36:37" ht="12.75">
      <c r="AJ1383" s="3"/>
      <c r="AK1383" s="3"/>
    </row>
    <row r="1384" spans="36:37" ht="12.75">
      <c r="AJ1384" s="3"/>
      <c r="AK1384" s="3"/>
    </row>
    <row r="1385" spans="36:37" ht="12.75">
      <c r="AJ1385" s="3"/>
      <c r="AK1385" s="3"/>
    </row>
    <row r="1386" spans="36:37" ht="12.75">
      <c r="AJ1386" s="3"/>
      <c r="AK1386" s="3"/>
    </row>
    <row r="1387" spans="36:37" ht="12.75">
      <c r="AJ1387" s="3"/>
      <c r="AK1387" s="3"/>
    </row>
    <row r="1388" spans="36:37" ht="12.75">
      <c r="AJ1388" s="3"/>
      <c r="AK1388" s="3"/>
    </row>
    <row r="1389" spans="36:37" ht="12.75">
      <c r="AJ1389" s="3"/>
      <c r="AK1389" s="3"/>
    </row>
    <row r="1390" spans="36:37" ht="12.75">
      <c r="AJ1390" s="3"/>
      <c r="AK1390" s="3"/>
    </row>
    <row r="1391" spans="36:37" ht="12.75">
      <c r="AJ1391" s="3"/>
      <c r="AK1391" s="3"/>
    </row>
    <row r="1392" spans="36:37" ht="12.75">
      <c r="AJ1392" s="3"/>
      <c r="AK1392" s="3"/>
    </row>
    <row r="1393" spans="36:37" ht="12.75">
      <c r="AJ1393" s="3"/>
      <c r="AK1393" s="3"/>
    </row>
    <row r="1394" spans="36:37" ht="12.75">
      <c r="AJ1394" s="3"/>
      <c r="AK1394" s="3"/>
    </row>
    <row r="1395" spans="36:37" ht="12.75">
      <c r="AJ1395" s="3"/>
      <c r="AK1395" s="3"/>
    </row>
    <row r="1396" spans="36:37" ht="12.75">
      <c r="AJ1396" s="3"/>
      <c r="AK1396" s="3"/>
    </row>
    <row r="1397" spans="36:37" ht="12.75">
      <c r="AJ1397" s="3"/>
      <c r="AK1397" s="3"/>
    </row>
    <row r="1398" spans="36:37" ht="12.75">
      <c r="AJ1398" s="3"/>
      <c r="AK1398" s="3"/>
    </row>
    <row r="1399" spans="36:37" ht="12.75">
      <c r="AJ1399" s="3"/>
      <c r="AK1399" s="3"/>
    </row>
    <row r="1400" spans="36:37" ht="12.75">
      <c r="AJ1400" s="3"/>
      <c r="AK1400" s="3"/>
    </row>
    <row r="1401" spans="36:37" ht="12.75">
      <c r="AJ1401" s="3"/>
      <c r="AK1401" s="3"/>
    </row>
    <row r="1402" spans="36:37" ht="12.75">
      <c r="AJ1402" s="3"/>
      <c r="AK1402" s="3"/>
    </row>
    <row r="1403" spans="36:37" ht="12.75">
      <c r="AJ1403" s="3"/>
      <c r="AK1403" s="3"/>
    </row>
    <row r="1404" spans="36:37" ht="12.75">
      <c r="AJ1404" s="3"/>
      <c r="AK1404" s="3"/>
    </row>
    <row r="1405" spans="36:37" ht="12.75">
      <c r="AJ1405" s="3"/>
      <c r="AK1405" s="3"/>
    </row>
    <row r="1406" spans="36:37" ht="12.75">
      <c r="AJ1406" s="3"/>
      <c r="AK1406" s="3"/>
    </row>
    <row r="1407" spans="36:37" ht="12.75">
      <c r="AJ1407" s="3"/>
      <c r="AK1407" s="3"/>
    </row>
    <row r="1408" spans="36:37" ht="12.75">
      <c r="AJ1408" s="3"/>
      <c r="AK1408" s="3"/>
    </row>
    <row r="1409" spans="36:37" ht="12.75">
      <c r="AJ1409" s="3"/>
      <c r="AK1409" s="3"/>
    </row>
    <row r="1410" spans="36:37" ht="12.75">
      <c r="AJ1410" s="3"/>
      <c r="AK1410" s="3"/>
    </row>
    <row r="1411" spans="36:37" ht="12.75">
      <c r="AJ1411" s="3"/>
      <c r="AK1411" s="3"/>
    </row>
    <row r="1412" spans="36:37" ht="12.75">
      <c r="AJ1412" s="3"/>
      <c r="AK1412" s="3"/>
    </row>
    <row r="1413" spans="36:37" ht="12.75">
      <c r="AJ1413" s="3"/>
      <c r="AK1413" s="3"/>
    </row>
    <row r="1414" spans="36:37" ht="12.75">
      <c r="AJ1414" s="3"/>
      <c r="AK1414" s="3"/>
    </row>
    <row r="1415" spans="36:37" ht="12.75">
      <c r="AJ1415" s="3"/>
      <c r="AK1415" s="3"/>
    </row>
    <row r="1416" spans="36:37" ht="12.75">
      <c r="AJ1416" s="3"/>
      <c r="AK1416" s="3"/>
    </row>
    <row r="1417" spans="36:37" ht="12.75">
      <c r="AJ1417" s="3"/>
      <c r="AK1417" s="3"/>
    </row>
    <row r="1418" spans="36:37" ht="12.75">
      <c r="AJ1418" s="3"/>
      <c r="AK1418" s="3"/>
    </row>
    <row r="1419" spans="36:37" ht="12.75">
      <c r="AJ1419" s="3"/>
      <c r="AK1419" s="3"/>
    </row>
    <row r="1420" spans="36:37" ht="12.75">
      <c r="AJ1420" s="3"/>
      <c r="AK1420" s="3"/>
    </row>
    <row r="1421" spans="36:37" ht="12.75">
      <c r="AJ1421" s="3"/>
      <c r="AK1421" s="3"/>
    </row>
    <row r="1422" spans="36:37" ht="12.75">
      <c r="AJ1422" s="3"/>
      <c r="AK1422" s="3"/>
    </row>
    <row r="1423" spans="36:37" ht="12.75">
      <c r="AJ1423" s="3"/>
      <c r="AK1423" s="3"/>
    </row>
    <row r="1424" spans="36:37" ht="12.75">
      <c r="AJ1424" s="3"/>
      <c r="AK1424" s="3"/>
    </row>
    <row r="1425" spans="36:37" ht="12.75">
      <c r="AJ1425" s="3"/>
      <c r="AK1425" s="3"/>
    </row>
    <row r="1426" spans="36:37" ht="12.75">
      <c r="AJ1426" s="3"/>
      <c r="AK1426" s="3"/>
    </row>
    <row r="1427" spans="36:37" ht="12.75">
      <c r="AJ1427" s="3"/>
      <c r="AK1427" s="3"/>
    </row>
    <row r="1428" spans="36:37" ht="12.75">
      <c r="AJ1428" s="3"/>
      <c r="AK1428" s="3"/>
    </row>
    <row r="1429" spans="36:37" ht="12.75">
      <c r="AJ1429" s="3"/>
      <c r="AK1429" s="3"/>
    </row>
    <row r="1430" spans="36:37" ht="12.75">
      <c r="AJ1430" s="3"/>
      <c r="AK1430" s="3"/>
    </row>
    <row r="1431" spans="36:37" ht="12.75">
      <c r="AJ1431" s="3"/>
      <c r="AK1431" s="3"/>
    </row>
    <row r="1432" spans="36:37" ht="12.75">
      <c r="AJ1432" s="3"/>
      <c r="AK1432" s="3"/>
    </row>
    <row r="1433" spans="36:37" ht="12.75">
      <c r="AJ1433" s="3"/>
      <c r="AK1433" s="3"/>
    </row>
    <row r="1434" spans="36:37" ht="12.75">
      <c r="AJ1434" s="3"/>
      <c r="AK1434" s="3"/>
    </row>
    <row r="1435" spans="36:37" ht="12.75">
      <c r="AJ1435" s="3"/>
      <c r="AK1435" s="3"/>
    </row>
    <row r="1436" spans="36:37" ht="12.75">
      <c r="AJ1436" s="3"/>
      <c r="AK1436" s="3"/>
    </row>
    <row r="1437" spans="36:37" ht="12.75">
      <c r="AJ1437" s="3"/>
      <c r="AK1437" s="3"/>
    </row>
    <row r="1438" spans="36:37" ht="12.75">
      <c r="AJ1438" s="3"/>
      <c r="AK1438" s="3"/>
    </row>
    <row r="1439" spans="36:37" ht="12.75">
      <c r="AJ1439" s="3"/>
      <c r="AK1439" s="3"/>
    </row>
    <row r="1440" spans="36:37" ht="12.75">
      <c r="AJ1440" s="3"/>
      <c r="AK1440" s="3"/>
    </row>
    <row r="1441" spans="36:37" ht="12.75">
      <c r="AJ1441" s="3"/>
      <c r="AK1441" s="3"/>
    </row>
    <row r="1442" spans="36:37" ht="12.75">
      <c r="AJ1442" s="3"/>
      <c r="AK1442" s="3"/>
    </row>
    <row r="1443" spans="36:37" ht="12.75">
      <c r="AJ1443" s="3"/>
      <c r="AK1443" s="3"/>
    </row>
    <row r="1444" spans="36:37" ht="12.75">
      <c r="AJ1444" s="3"/>
      <c r="AK1444" s="3"/>
    </row>
    <row r="1445" spans="36:37" ht="12.75">
      <c r="AJ1445" s="3"/>
      <c r="AK1445" s="3"/>
    </row>
    <row r="1446" spans="36:37" ht="12.75">
      <c r="AJ1446" s="3"/>
      <c r="AK1446" s="3"/>
    </row>
    <row r="1447" spans="36:37" ht="12.75">
      <c r="AJ1447" s="3"/>
      <c r="AK1447" s="3"/>
    </row>
    <row r="1448" spans="36:37" ht="12.75">
      <c r="AJ1448" s="3"/>
      <c r="AK1448" s="3"/>
    </row>
    <row r="1449" spans="36:37" ht="12.75">
      <c r="AJ1449" s="3"/>
      <c r="AK1449" s="3"/>
    </row>
    <row r="1450" spans="36:37" ht="12.75">
      <c r="AJ1450" s="3"/>
      <c r="AK1450" s="3"/>
    </row>
    <row r="1451" spans="36:37" ht="12.75">
      <c r="AJ1451" s="3"/>
      <c r="AK1451" s="3"/>
    </row>
    <row r="1452" spans="36:37" ht="12.75">
      <c r="AJ1452" s="3"/>
      <c r="AK1452" s="3"/>
    </row>
    <row r="1453" spans="36:37" ht="12.75">
      <c r="AJ1453" s="3"/>
      <c r="AK1453" s="3"/>
    </row>
    <row r="1454" spans="36:37" ht="12.75">
      <c r="AJ1454" s="3"/>
      <c r="AK1454" s="3"/>
    </row>
    <row r="1455" spans="36:37" ht="12.75">
      <c r="AJ1455" s="3"/>
      <c r="AK1455" s="3"/>
    </row>
    <row r="1456" spans="36:37" ht="12.75">
      <c r="AJ1456" s="3"/>
      <c r="AK1456" s="3"/>
    </row>
    <row r="1457" spans="36:37" ht="12.75">
      <c r="AJ1457" s="3"/>
      <c r="AK1457" s="3"/>
    </row>
    <row r="1458" spans="36:37" ht="12.75">
      <c r="AJ1458" s="3"/>
      <c r="AK1458" s="3"/>
    </row>
    <row r="1459" spans="36:37" ht="12.75">
      <c r="AJ1459" s="3"/>
      <c r="AK1459" s="3"/>
    </row>
    <row r="1460" spans="36:37" ht="12.75">
      <c r="AJ1460" s="3"/>
      <c r="AK1460" s="3"/>
    </row>
    <row r="1461" spans="36:37" ht="12.75">
      <c r="AJ1461" s="3"/>
      <c r="AK1461" s="3"/>
    </row>
    <row r="1462" spans="36:37" ht="12.75">
      <c r="AJ1462" s="3"/>
      <c r="AK1462" s="3"/>
    </row>
    <row r="1463" spans="36:37" ht="12.75">
      <c r="AJ1463" s="3"/>
      <c r="AK1463" s="3"/>
    </row>
    <row r="1464" spans="36:37" ht="12.75">
      <c r="AJ1464" s="3"/>
      <c r="AK1464" s="3"/>
    </row>
    <row r="1465" spans="36:37" ht="12.75">
      <c r="AJ1465" s="3"/>
      <c r="AK1465" s="3"/>
    </row>
    <row r="1466" spans="36:37" ht="12.75">
      <c r="AJ1466" s="3"/>
      <c r="AK1466" s="3"/>
    </row>
    <row r="1467" spans="36:37" ht="12.75">
      <c r="AJ1467" s="3"/>
      <c r="AK1467" s="3"/>
    </row>
    <row r="1468" spans="36:37" ht="12.75">
      <c r="AJ1468" s="3"/>
      <c r="AK1468" s="3"/>
    </row>
    <row r="1469" spans="36:37" ht="12.75">
      <c r="AJ1469" s="3"/>
      <c r="AK1469" s="3"/>
    </row>
    <row r="1470" spans="36:37" ht="12.75">
      <c r="AJ1470" s="3"/>
      <c r="AK1470" s="3"/>
    </row>
    <row r="1471" spans="36:37" ht="12.75">
      <c r="AJ1471" s="3"/>
      <c r="AK1471" s="3"/>
    </row>
    <row r="1472" spans="36:37" ht="12.75">
      <c r="AJ1472" s="3"/>
      <c r="AK1472" s="3"/>
    </row>
    <row r="1473" spans="36:37" ht="12.75">
      <c r="AJ1473" s="3"/>
      <c r="AK1473" s="3"/>
    </row>
    <row r="1474" spans="36:37" ht="12.75">
      <c r="AJ1474" s="3"/>
      <c r="AK1474" s="3"/>
    </row>
    <row r="1475" spans="36:37" ht="12.75">
      <c r="AJ1475" s="3"/>
      <c r="AK1475" s="3"/>
    </row>
    <row r="1476" spans="36:37" ht="12.75">
      <c r="AJ1476" s="3"/>
      <c r="AK1476" s="3"/>
    </row>
    <row r="1477" spans="36:37" ht="12.75">
      <c r="AJ1477" s="3"/>
      <c r="AK1477" s="3"/>
    </row>
    <row r="1478" spans="36:37" ht="12.75">
      <c r="AJ1478" s="3"/>
      <c r="AK1478" s="3"/>
    </row>
    <row r="1479" spans="36:37" ht="12.75">
      <c r="AJ1479" s="3"/>
      <c r="AK1479" s="3"/>
    </row>
    <row r="1480" spans="36:37" ht="12.75">
      <c r="AJ1480" s="3"/>
      <c r="AK1480" s="3"/>
    </row>
    <row r="1481" spans="36:37" ht="12.75">
      <c r="AJ1481" s="3"/>
      <c r="AK1481" s="3"/>
    </row>
    <row r="1482" spans="36:37" ht="12.75">
      <c r="AJ1482" s="3"/>
      <c r="AK1482" s="3"/>
    </row>
    <row r="1483" spans="36:37" ht="12.75">
      <c r="AJ1483" s="3"/>
      <c r="AK1483" s="3"/>
    </row>
    <row r="1484" spans="36:37" ht="12.75">
      <c r="AJ1484" s="3"/>
      <c r="AK1484" s="3"/>
    </row>
    <row r="1485" spans="36:37" ht="12.75">
      <c r="AJ1485" s="3"/>
      <c r="AK1485" s="3"/>
    </row>
    <row r="1486" spans="36:37" ht="12.75">
      <c r="AJ1486" s="3"/>
      <c r="AK1486" s="3"/>
    </row>
    <row r="1487" spans="36:37" ht="12.75">
      <c r="AJ1487" s="3"/>
      <c r="AK1487" s="3"/>
    </row>
    <row r="1488" spans="36:37" ht="12.75">
      <c r="AJ1488" s="3"/>
      <c r="AK1488" s="3"/>
    </row>
    <row r="1489" spans="36:37" ht="12.75">
      <c r="AJ1489" s="3"/>
      <c r="AK1489" s="3"/>
    </row>
    <row r="1490" spans="36:37" ht="12.75">
      <c r="AJ1490" s="3"/>
      <c r="AK1490" s="3"/>
    </row>
    <row r="1491" spans="36:37" ht="12.75">
      <c r="AJ1491" s="3"/>
      <c r="AK1491" s="3"/>
    </row>
    <row r="1492" spans="36:37" ht="12.75">
      <c r="AJ1492" s="3"/>
      <c r="AK1492" s="3"/>
    </row>
    <row r="1493" spans="36:37" ht="12.75">
      <c r="AJ1493" s="3"/>
      <c r="AK1493" s="3"/>
    </row>
    <row r="1494" spans="36:37" ht="12.75">
      <c r="AJ1494" s="3"/>
      <c r="AK1494" s="3"/>
    </row>
    <row r="1495" spans="36:37" ht="12.75">
      <c r="AJ1495" s="3"/>
      <c r="AK1495" s="3"/>
    </row>
    <row r="1496" spans="36:37" ht="12.75">
      <c r="AJ1496" s="3"/>
      <c r="AK1496" s="3"/>
    </row>
    <row r="1497" spans="36:37" ht="12.75">
      <c r="AJ1497" s="3"/>
      <c r="AK1497" s="3"/>
    </row>
    <row r="1498" spans="36:37" ht="12.75">
      <c r="AJ1498" s="3"/>
      <c r="AK1498" s="3"/>
    </row>
    <row r="1499" spans="36:37" ht="12.75">
      <c r="AJ1499" s="3"/>
      <c r="AK1499" s="3"/>
    </row>
    <row r="1500" spans="36:37" ht="12.75">
      <c r="AJ1500" s="3"/>
      <c r="AK1500" s="3"/>
    </row>
    <row r="1501" spans="36:37" ht="12.75">
      <c r="AJ1501" s="3"/>
      <c r="AK1501" s="3"/>
    </row>
    <row r="1502" spans="36:37" ht="12.75">
      <c r="AJ1502" s="3"/>
      <c r="AK1502" s="3"/>
    </row>
    <row r="1503" spans="36:37" ht="12.75">
      <c r="AJ1503" s="3"/>
      <c r="AK1503" s="3"/>
    </row>
    <row r="1504" spans="36:37" ht="12.75">
      <c r="AJ1504" s="3"/>
      <c r="AK1504" s="3"/>
    </row>
    <row r="1505" spans="36:37" ht="12.75">
      <c r="AJ1505" s="3"/>
      <c r="AK1505" s="3"/>
    </row>
    <row r="1506" spans="36:37" ht="12.75">
      <c r="AJ1506" s="3"/>
      <c r="AK1506" s="3"/>
    </row>
    <row r="1507" spans="36:37" ht="12.75">
      <c r="AJ1507" s="3"/>
      <c r="AK1507" s="3"/>
    </row>
    <row r="1508" spans="36:37" ht="12.75">
      <c r="AJ1508" s="3"/>
      <c r="AK1508" s="3"/>
    </row>
    <row r="1509" spans="36:37" ht="12.75">
      <c r="AJ1509" s="3"/>
      <c r="AK1509" s="3"/>
    </row>
    <row r="1510" spans="36:37" ht="12.75">
      <c r="AJ1510" s="3"/>
      <c r="AK1510" s="3"/>
    </row>
    <row r="1511" spans="36:37" ht="12.75">
      <c r="AJ1511" s="3"/>
      <c r="AK1511" s="3"/>
    </row>
    <row r="1512" spans="36:37" ht="12.75">
      <c r="AJ1512" s="3"/>
      <c r="AK1512" s="3"/>
    </row>
    <row r="1513" spans="36:37" ht="12.75">
      <c r="AJ1513" s="3"/>
      <c r="AK1513" s="3"/>
    </row>
    <row r="1514" spans="36:37" ht="12.75">
      <c r="AJ1514" s="3"/>
      <c r="AK1514" s="3"/>
    </row>
    <row r="1515" spans="36:37" ht="12.75">
      <c r="AJ1515" s="3"/>
      <c r="AK1515" s="3"/>
    </row>
    <row r="1516" spans="36:37" ht="12.75">
      <c r="AJ1516" s="3"/>
      <c r="AK1516" s="3"/>
    </row>
    <row r="1517" spans="36:37" ht="12.75">
      <c r="AJ1517" s="3"/>
      <c r="AK1517" s="3"/>
    </row>
    <row r="1518" spans="36:37" ht="12.75">
      <c r="AJ1518" s="3"/>
      <c r="AK1518" s="3"/>
    </row>
    <row r="1519" spans="36:37" ht="12.75">
      <c r="AJ1519" s="3"/>
      <c r="AK1519" s="3"/>
    </row>
    <row r="1520" spans="36:37" ht="12.75">
      <c r="AJ1520" s="3"/>
      <c r="AK1520" s="3"/>
    </row>
    <row r="1521" spans="36:37" ht="12.75">
      <c r="AJ1521" s="3"/>
      <c r="AK1521" s="3"/>
    </row>
    <row r="1522" spans="36:37" ht="12.75">
      <c r="AJ1522" s="3"/>
      <c r="AK1522" s="3"/>
    </row>
    <row r="1523" spans="36:37" ht="12.75">
      <c r="AJ1523" s="3"/>
      <c r="AK1523" s="3"/>
    </row>
    <row r="1524" spans="36:37" ht="12.75">
      <c r="AJ1524" s="3"/>
      <c r="AK1524" s="3"/>
    </row>
    <row r="1525" spans="36:37" ht="12.75">
      <c r="AJ1525" s="3"/>
      <c r="AK1525" s="3"/>
    </row>
    <row r="1526" spans="36:37" ht="12.75">
      <c r="AJ1526" s="3"/>
      <c r="AK1526" s="3"/>
    </row>
    <row r="1527" spans="36:37" ht="12.75">
      <c r="AJ1527" s="3"/>
      <c r="AK1527" s="3"/>
    </row>
    <row r="1528" spans="36:37" ht="12.75">
      <c r="AJ1528" s="3"/>
      <c r="AK1528" s="3"/>
    </row>
    <row r="1529" spans="36:37" ht="12.75">
      <c r="AJ1529" s="3"/>
      <c r="AK1529" s="3"/>
    </row>
    <row r="1530" spans="36:37" ht="12.75">
      <c r="AJ1530" s="3"/>
      <c r="AK1530" s="3"/>
    </row>
    <row r="1531" spans="36:37" ht="12.75">
      <c r="AJ1531" s="3"/>
      <c r="AK1531" s="3"/>
    </row>
    <row r="1532" spans="36:37" ht="12.75">
      <c r="AJ1532" s="3"/>
      <c r="AK1532" s="3"/>
    </row>
    <row r="1533" spans="36:37" ht="12.75">
      <c r="AJ1533" s="3"/>
      <c r="AK1533" s="3"/>
    </row>
    <row r="1534" spans="36:37" ht="12.75">
      <c r="AJ1534" s="3"/>
      <c r="AK1534" s="3"/>
    </row>
    <row r="1535" spans="36:37" ht="12.75">
      <c r="AJ1535" s="3"/>
      <c r="AK1535" s="3"/>
    </row>
    <row r="1536" spans="36:37" ht="12.75">
      <c r="AJ1536" s="3"/>
      <c r="AK1536" s="3"/>
    </row>
    <row r="1537" spans="36:37" ht="12.75">
      <c r="AJ1537" s="3"/>
      <c r="AK1537" s="3"/>
    </row>
    <row r="1538" spans="36:37" ht="12.75">
      <c r="AJ1538" s="3"/>
      <c r="AK1538" s="3"/>
    </row>
    <row r="1539" spans="36:37" ht="12.75">
      <c r="AJ1539" s="3"/>
      <c r="AK1539" s="3"/>
    </row>
    <row r="1540" spans="36:37" ht="12.75">
      <c r="AJ1540" s="3"/>
      <c r="AK1540" s="3"/>
    </row>
    <row r="1541" spans="36:37" ht="12.75">
      <c r="AJ1541" s="3"/>
      <c r="AK1541" s="3"/>
    </row>
    <row r="1542" spans="36:37" ht="12.75">
      <c r="AJ1542" s="3"/>
      <c r="AK1542" s="3"/>
    </row>
    <row r="1543" spans="36:37" ht="12.75">
      <c r="AJ1543" s="3"/>
      <c r="AK1543" s="3"/>
    </row>
    <row r="1544" spans="36:37" ht="12.75">
      <c r="AJ1544" s="3"/>
      <c r="AK1544" s="3"/>
    </row>
    <row r="1545" spans="36:37" ht="12.75">
      <c r="AJ1545" s="3"/>
      <c r="AK1545" s="3"/>
    </row>
    <row r="1546" spans="36:37" ht="12.75">
      <c r="AJ1546" s="3"/>
      <c r="AK1546" s="3"/>
    </row>
    <row r="1547" spans="36:37" ht="12.75">
      <c r="AJ1547" s="3"/>
      <c r="AK1547" s="3"/>
    </row>
    <row r="1548" spans="36:37" ht="12.75">
      <c r="AJ1548" s="3"/>
      <c r="AK1548" s="3"/>
    </row>
    <row r="1549" spans="36:37" ht="12.75">
      <c r="AJ1549" s="3"/>
      <c r="AK1549" s="3"/>
    </row>
    <row r="1550" spans="36:37" ht="12.75">
      <c r="AJ1550" s="3"/>
      <c r="AK1550" s="3"/>
    </row>
    <row r="1551" spans="36:37" ht="12.75">
      <c r="AJ1551" s="3"/>
      <c r="AK1551" s="3"/>
    </row>
    <row r="1552" spans="36:37" ht="12.75">
      <c r="AJ1552" s="3"/>
      <c r="AK1552" s="3"/>
    </row>
    <row r="1553" spans="36:37" ht="12.75">
      <c r="AJ1553" s="3"/>
      <c r="AK1553" s="3"/>
    </row>
    <row r="1554" spans="36:37" ht="12.75">
      <c r="AJ1554" s="3"/>
      <c r="AK1554" s="3"/>
    </row>
    <row r="1555" spans="36:37" ht="12.75">
      <c r="AJ1555" s="3"/>
      <c r="AK1555" s="3"/>
    </row>
    <row r="1556" spans="36:37" ht="12.75">
      <c r="AJ1556" s="3"/>
      <c r="AK1556" s="3"/>
    </row>
    <row r="1557" spans="36:37" ht="12.75">
      <c r="AJ1557" s="3"/>
      <c r="AK1557" s="3"/>
    </row>
    <row r="1558" spans="36:37" ht="12.75">
      <c r="AJ1558" s="3"/>
      <c r="AK1558" s="3"/>
    </row>
    <row r="1559" spans="36:37" ht="12.75">
      <c r="AJ1559" s="3"/>
      <c r="AK1559" s="3"/>
    </row>
    <row r="1560" spans="36:37" ht="12.75">
      <c r="AJ1560" s="3"/>
      <c r="AK1560" s="3"/>
    </row>
    <row r="1561" spans="36:37" ht="12.75">
      <c r="AJ1561" s="3"/>
      <c r="AK1561" s="3"/>
    </row>
    <row r="1562" spans="36:37" ht="12.75">
      <c r="AJ1562" s="3"/>
      <c r="AK1562" s="3"/>
    </row>
    <row r="1563" spans="36:37" ht="12.75">
      <c r="AJ1563" s="3"/>
      <c r="AK1563" s="3"/>
    </row>
    <row r="1564" spans="36:37" ht="12.75">
      <c r="AJ1564" s="3"/>
      <c r="AK1564" s="3"/>
    </row>
    <row r="1565" spans="36:37" ht="12.75">
      <c r="AJ1565" s="3"/>
      <c r="AK1565" s="3"/>
    </row>
    <row r="1566" spans="36:37" ht="12.75">
      <c r="AJ1566" s="3"/>
      <c r="AK1566" s="3"/>
    </row>
    <row r="1567" spans="36:37" ht="12.75">
      <c r="AJ1567" s="3"/>
      <c r="AK1567" s="3"/>
    </row>
    <row r="1568" spans="36:37" ht="12.75">
      <c r="AJ1568" s="3"/>
      <c r="AK1568" s="3"/>
    </row>
    <row r="1569" spans="36:37" ht="12.75">
      <c r="AJ1569" s="3"/>
      <c r="AK1569" s="3"/>
    </row>
    <row r="1570" spans="36:37" ht="12.75">
      <c r="AJ1570" s="3"/>
      <c r="AK1570" s="3"/>
    </row>
    <row r="1571" spans="36:37" ht="12.75">
      <c r="AJ1571" s="3"/>
      <c r="AK1571" s="3"/>
    </row>
    <row r="1572" spans="36:37" ht="12.75">
      <c r="AJ1572" s="3"/>
      <c r="AK1572" s="3"/>
    </row>
    <row r="1573" spans="36:37" ht="12.75">
      <c r="AJ1573" s="3"/>
      <c r="AK1573" s="3"/>
    </row>
    <row r="1574" spans="36:37" ht="12.75">
      <c r="AJ1574" s="3"/>
      <c r="AK1574" s="3"/>
    </row>
    <row r="1575" spans="36:37" ht="12.75">
      <c r="AJ1575" s="3"/>
      <c r="AK1575" s="3"/>
    </row>
    <row r="1576" spans="36:37" ht="12.75">
      <c r="AJ1576" s="3"/>
      <c r="AK1576" s="3"/>
    </row>
    <row r="1577" spans="36:37" ht="12.75">
      <c r="AJ1577" s="3"/>
      <c r="AK1577" s="3"/>
    </row>
    <row r="1578" spans="36:37" ht="12.75">
      <c r="AJ1578" s="3"/>
      <c r="AK1578" s="3"/>
    </row>
    <row r="1579" spans="36:37" ht="12.75">
      <c r="AJ1579" s="3"/>
      <c r="AK1579" s="3"/>
    </row>
    <row r="1580" spans="36:37" ht="12.75">
      <c r="AJ1580" s="3"/>
      <c r="AK1580" s="3"/>
    </row>
    <row r="1581" spans="36:37" ht="12.75">
      <c r="AJ1581" s="3"/>
      <c r="AK1581" s="3"/>
    </row>
    <row r="1582" spans="36:37" ht="12.75">
      <c r="AJ1582" s="3"/>
      <c r="AK1582" s="3"/>
    </row>
    <row r="1583" spans="36:37" ht="12.75">
      <c r="AJ1583" s="3"/>
      <c r="AK1583" s="3"/>
    </row>
    <row r="1584" spans="36:37" ht="12.75">
      <c r="AJ1584" s="3"/>
      <c r="AK1584" s="3"/>
    </row>
    <row r="1585" spans="36:37" ht="12.75">
      <c r="AJ1585" s="3"/>
      <c r="AK1585" s="3"/>
    </row>
    <row r="1586" spans="36:37" ht="12.75">
      <c r="AJ1586" s="3"/>
      <c r="AK1586" s="3"/>
    </row>
    <row r="1587" spans="36:37" ht="12.75">
      <c r="AJ1587" s="3"/>
      <c r="AK1587" s="3"/>
    </row>
    <row r="1588" spans="36:37" ht="12.75">
      <c r="AJ1588" s="3"/>
      <c r="AK1588" s="3"/>
    </row>
    <row r="1589" spans="36:37" ht="12.75">
      <c r="AJ1589" s="3"/>
      <c r="AK1589" s="3"/>
    </row>
    <row r="1590" spans="36:37" ht="12.75">
      <c r="AJ1590" s="3"/>
      <c r="AK1590" s="3"/>
    </row>
    <row r="1591" spans="36:37" ht="12.75">
      <c r="AJ1591" s="3"/>
      <c r="AK1591" s="3"/>
    </row>
    <row r="1592" spans="36:37" ht="12.75">
      <c r="AJ1592" s="3"/>
      <c r="AK1592" s="3"/>
    </row>
    <row r="1593" spans="36:37" ht="12.75">
      <c r="AJ1593" s="3"/>
      <c r="AK1593" s="3"/>
    </row>
    <row r="1594" spans="36:37" ht="12.75">
      <c r="AJ1594" s="3"/>
      <c r="AK1594" s="3"/>
    </row>
    <row r="1595" spans="36:37" ht="12.75">
      <c r="AJ1595" s="3"/>
      <c r="AK1595" s="3"/>
    </row>
    <row r="1596" spans="36:37" ht="12.75">
      <c r="AJ1596" s="3"/>
      <c r="AK1596" s="3"/>
    </row>
    <row r="1597" spans="36:37" ht="12.75">
      <c r="AJ1597" s="3"/>
      <c r="AK1597" s="3"/>
    </row>
    <row r="1598" spans="36:37" ht="12.75">
      <c r="AJ1598" s="3"/>
      <c r="AK1598" s="3"/>
    </row>
    <row r="1599" spans="36:37" ht="12.75">
      <c r="AJ1599" s="3"/>
      <c r="AK1599" s="3"/>
    </row>
    <row r="1600" spans="36:37" ht="12.75">
      <c r="AJ1600" s="3"/>
      <c r="AK1600" s="3"/>
    </row>
    <row r="1601" spans="36:37" ht="12.75">
      <c r="AJ1601" s="3"/>
      <c r="AK1601" s="3"/>
    </row>
    <row r="1602" spans="36:37" ht="12.75">
      <c r="AJ1602" s="3"/>
      <c r="AK1602" s="3"/>
    </row>
    <row r="1603" spans="36:37" ht="12.75">
      <c r="AJ1603" s="3"/>
      <c r="AK1603" s="3"/>
    </row>
    <row r="1604" spans="36:37" ht="12.75">
      <c r="AJ1604" s="3"/>
      <c r="AK1604" s="3"/>
    </row>
    <row r="1605" spans="36:37" ht="12.75">
      <c r="AJ1605" s="3"/>
      <c r="AK1605" s="3"/>
    </row>
    <row r="1606" spans="36:37" ht="12.75">
      <c r="AJ1606" s="3"/>
      <c r="AK1606" s="3"/>
    </row>
    <row r="1607" spans="36:37" ht="12.75">
      <c r="AJ1607" s="3"/>
      <c r="AK1607" s="3"/>
    </row>
    <row r="1608" spans="36:37" ht="12.75">
      <c r="AJ1608" s="3"/>
      <c r="AK1608" s="3"/>
    </row>
    <row r="1609" spans="36:37" ht="12.75">
      <c r="AJ1609" s="3"/>
      <c r="AK1609" s="3"/>
    </row>
    <row r="1610" spans="36:37" ht="12.75">
      <c r="AJ1610" s="3"/>
      <c r="AK1610" s="3"/>
    </row>
    <row r="1611" spans="36:37" ht="12.75">
      <c r="AJ1611" s="3"/>
      <c r="AK1611" s="3"/>
    </row>
    <row r="1612" spans="36:37" ht="12.75">
      <c r="AJ1612" s="3"/>
      <c r="AK1612" s="3"/>
    </row>
    <row r="1613" spans="36:37" ht="12.75">
      <c r="AJ1613" s="3"/>
      <c r="AK1613" s="3"/>
    </row>
    <row r="1614" spans="36:37" ht="12.75">
      <c r="AJ1614" s="3"/>
      <c r="AK1614" s="3"/>
    </row>
    <row r="1615" spans="36:37" ht="12.75">
      <c r="AJ1615" s="3"/>
      <c r="AK1615" s="3"/>
    </row>
    <row r="1616" spans="36:37" ht="12.75">
      <c r="AJ1616" s="3"/>
      <c r="AK1616" s="3"/>
    </row>
    <row r="1617" spans="36:37" ht="12.75">
      <c r="AJ1617" s="3"/>
      <c r="AK1617" s="3"/>
    </row>
    <row r="1618" spans="36:37" ht="12.75">
      <c r="AJ1618" s="3"/>
      <c r="AK1618" s="3"/>
    </row>
    <row r="1619" spans="36:37" ht="12.75">
      <c r="AJ1619" s="3"/>
      <c r="AK1619" s="3"/>
    </row>
    <row r="1620" spans="36:37" ht="12.75">
      <c r="AJ1620" s="3"/>
      <c r="AK1620" s="3"/>
    </row>
    <row r="1621" spans="36:37" ht="12.75">
      <c r="AJ1621" s="3"/>
      <c r="AK1621" s="3"/>
    </row>
    <row r="1622" spans="36:37" ht="12.75">
      <c r="AJ1622" s="3"/>
      <c r="AK1622" s="3"/>
    </row>
    <row r="1623" spans="36:37" ht="12.75">
      <c r="AJ1623" s="3"/>
      <c r="AK1623" s="3"/>
    </row>
    <row r="1624" spans="36:37" ht="12.75">
      <c r="AJ1624" s="3"/>
      <c r="AK1624" s="3"/>
    </row>
    <row r="1625" spans="36:37" ht="12.75">
      <c r="AJ1625" s="3"/>
      <c r="AK1625" s="3"/>
    </row>
    <row r="1626" spans="36:37" ht="12.75">
      <c r="AJ1626" s="3"/>
      <c r="AK1626" s="3"/>
    </row>
    <row r="1627" spans="36:37" ht="12.75">
      <c r="AJ1627" s="3"/>
      <c r="AK1627" s="3"/>
    </row>
    <row r="1628" spans="36:37" ht="12.75">
      <c r="AJ1628" s="3"/>
      <c r="AK1628" s="3"/>
    </row>
    <row r="1629" spans="36:37" ht="12.75">
      <c r="AJ1629" s="3"/>
      <c r="AK1629" s="3"/>
    </row>
    <row r="1630" spans="36:37" ht="12.75">
      <c r="AJ1630" s="3"/>
      <c r="AK1630" s="3"/>
    </row>
    <row r="1631" spans="36:37" ht="12.75">
      <c r="AJ1631" s="3"/>
      <c r="AK1631" s="3"/>
    </row>
    <row r="1632" spans="36:37" ht="12.75">
      <c r="AJ1632" s="3"/>
      <c r="AK1632" s="3"/>
    </row>
    <row r="1633" spans="36:37" ht="12.75">
      <c r="AJ1633" s="3"/>
      <c r="AK1633" s="3"/>
    </row>
    <row r="1634" spans="36:37" ht="12.75">
      <c r="AJ1634" s="3"/>
      <c r="AK1634" s="3"/>
    </row>
    <row r="1635" spans="36:37" ht="12.75">
      <c r="AJ1635" s="3"/>
      <c r="AK1635" s="3"/>
    </row>
    <row r="1636" spans="36:37" ht="12.75">
      <c r="AJ1636" s="3"/>
      <c r="AK1636" s="3"/>
    </row>
    <row r="1637" spans="36:37" ht="12.75">
      <c r="AJ1637" s="3"/>
      <c r="AK1637" s="3"/>
    </row>
    <row r="1638" spans="36:37" ht="12.75">
      <c r="AJ1638" s="3"/>
      <c r="AK1638" s="3"/>
    </row>
    <row r="1639" spans="36:37" ht="12.75">
      <c r="AJ1639" s="3"/>
      <c r="AK1639" s="3"/>
    </row>
    <row r="1640" spans="36:37" ht="12.75">
      <c r="AJ1640" s="3"/>
      <c r="AK1640" s="3"/>
    </row>
    <row r="1641" spans="36:37" ht="12.75">
      <c r="AJ1641" s="3"/>
      <c r="AK1641" s="3"/>
    </row>
    <row r="1642" spans="36:37" ht="12.75">
      <c r="AJ1642" s="3"/>
      <c r="AK1642" s="3"/>
    </row>
    <row r="1643" spans="36:37" ht="12.75">
      <c r="AJ1643" s="3"/>
      <c r="AK1643" s="3"/>
    </row>
    <row r="1644" spans="36:37" ht="12.75">
      <c r="AJ1644" s="3"/>
      <c r="AK1644" s="3"/>
    </row>
    <row r="1645" spans="36:37" ht="12.75">
      <c r="AJ1645" s="3"/>
      <c r="AK1645" s="3"/>
    </row>
    <row r="1646" spans="36:37" ht="12.75">
      <c r="AJ1646" s="3"/>
      <c r="AK1646" s="3"/>
    </row>
    <row r="1647" spans="36:37" ht="12.75">
      <c r="AJ1647" s="3"/>
      <c r="AK1647" s="3"/>
    </row>
    <row r="1648" spans="36:37" ht="12.75">
      <c r="AJ1648" s="3"/>
      <c r="AK1648" s="3"/>
    </row>
    <row r="1649" spans="36:37" ht="12.75">
      <c r="AJ1649" s="3"/>
      <c r="AK1649" s="3"/>
    </row>
    <row r="1650" spans="36:37" ht="12.75">
      <c r="AJ1650" s="3"/>
      <c r="AK1650" s="3"/>
    </row>
    <row r="1651" spans="36:37" ht="12.75">
      <c r="AJ1651" s="3"/>
      <c r="AK1651" s="3"/>
    </row>
    <row r="1652" spans="36:37" ht="12.75">
      <c r="AJ1652" s="3"/>
      <c r="AK1652" s="3"/>
    </row>
    <row r="1653" spans="36:37" ht="12.75">
      <c r="AJ1653" s="3"/>
      <c r="AK1653" s="3"/>
    </row>
    <row r="1654" spans="36:37" ht="12.75">
      <c r="AJ1654" s="3"/>
      <c r="AK1654" s="3"/>
    </row>
    <row r="1655" spans="36:37" ht="12.75">
      <c r="AJ1655" s="3"/>
      <c r="AK1655" s="3"/>
    </row>
    <row r="1656" spans="36:37" ht="12.75">
      <c r="AJ1656" s="3"/>
      <c r="AK1656" s="3"/>
    </row>
    <row r="1657" spans="36:37" ht="12.75">
      <c r="AJ1657" s="3"/>
      <c r="AK1657" s="3"/>
    </row>
    <row r="1658" spans="36:37" ht="12.75">
      <c r="AJ1658" s="3"/>
      <c r="AK1658" s="3"/>
    </row>
    <row r="1659" spans="36:37" ht="12.75">
      <c r="AJ1659" s="3"/>
      <c r="AK1659" s="3"/>
    </row>
    <row r="1660" spans="36:37" ht="12.75">
      <c r="AJ1660" s="3"/>
      <c r="AK1660" s="3"/>
    </row>
    <row r="1661" spans="36:37" ht="12.75">
      <c r="AJ1661" s="3"/>
      <c r="AK1661" s="3"/>
    </row>
    <row r="1662" spans="36:37" ht="12.75">
      <c r="AJ1662" s="3"/>
      <c r="AK1662" s="3"/>
    </row>
    <row r="1663" spans="36:37" ht="12.75">
      <c r="AJ1663" s="3"/>
      <c r="AK1663" s="3"/>
    </row>
    <row r="1664" spans="36:37" ht="12.75">
      <c r="AJ1664" s="3"/>
      <c r="AK1664" s="3"/>
    </row>
    <row r="1665" spans="36:37" ht="12.75">
      <c r="AJ1665" s="3"/>
      <c r="AK1665" s="3"/>
    </row>
    <row r="1666" spans="36:37" ht="12.75">
      <c r="AJ1666" s="3"/>
      <c r="AK1666" s="3"/>
    </row>
    <row r="1667" spans="36:37" ht="12.75">
      <c r="AJ1667" s="3"/>
      <c r="AK1667" s="3"/>
    </row>
    <row r="1668" spans="36:37" ht="12.75">
      <c r="AJ1668" s="3"/>
      <c r="AK1668" s="3"/>
    </row>
    <row r="1669" spans="36:37" ht="12.75">
      <c r="AJ1669" s="3"/>
      <c r="AK1669" s="3"/>
    </row>
    <row r="1670" spans="36:37" ht="12.75">
      <c r="AJ1670" s="3"/>
      <c r="AK1670" s="3"/>
    </row>
    <row r="1671" spans="36:37" ht="12.75">
      <c r="AJ1671" s="3"/>
      <c r="AK1671" s="3"/>
    </row>
    <row r="1672" spans="36:37" ht="12.75">
      <c r="AJ1672" s="3"/>
      <c r="AK1672" s="3"/>
    </row>
    <row r="1673" spans="36:37" ht="12.75">
      <c r="AJ1673" s="3"/>
      <c r="AK1673" s="3"/>
    </row>
    <row r="1674" spans="36:37" ht="12.75">
      <c r="AJ1674" s="3"/>
      <c r="AK1674" s="3"/>
    </row>
    <row r="1675" spans="36:37" ht="12.75">
      <c r="AJ1675" s="3"/>
      <c r="AK1675" s="3"/>
    </row>
    <row r="1676" spans="36:37" ht="12.75">
      <c r="AJ1676" s="3"/>
      <c r="AK1676" s="3"/>
    </row>
    <row r="1677" spans="36:37" ht="12.75">
      <c r="AJ1677" s="3"/>
      <c r="AK1677" s="3"/>
    </row>
    <row r="1678" spans="36:37" ht="12.75">
      <c r="AJ1678" s="3"/>
      <c r="AK1678" s="3"/>
    </row>
    <row r="1679" spans="36:37" ht="12.75">
      <c r="AJ1679" s="3"/>
      <c r="AK1679" s="3"/>
    </row>
    <row r="1680" spans="36:37" ht="12.75">
      <c r="AJ1680" s="3"/>
      <c r="AK1680" s="3"/>
    </row>
    <row r="1681" spans="36:37" ht="12.75">
      <c r="AJ1681" s="3"/>
      <c r="AK1681" s="3"/>
    </row>
    <row r="1682" spans="36:37" ht="12.75">
      <c r="AJ1682" s="3"/>
      <c r="AK1682" s="3"/>
    </row>
    <row r="1683" spans="36:37" ht="12.75">
      <c r="AJ1683" s="3"/>
      <c r="AK1683" s="3"/>
    </row>
    <row r="1684" spans="36:37" ht="12.75">
      <c r="AJ1684" s="3"/>
      <c r="AK1684" s="3"/>
    </row>
    <row r="1685" spans="36:37" ht="12.75">
      <c r="AJ1685" s="3"/>
      <c r="AK1685" s="3"/>
    </row>
    <row r="1686" spans="36:37" ht="12.75">
      <c r="AJ1686" s="3"/>
      <c r="AK1686" s="3"/>
    </row>
    <row r="1687" spans="36:37" ht="12.75">
      <c r="AJ1687" s="3"/>
      <c r="AK1687" s="3"/>
    </row>
    <row r="1688" spans="36:37" ht="12.75">
      <c r="AJ1688" s="3"/>
      <c r="AK1688" s="3"/>
    </row>
    <row r="1689" spans="36:37" ht="12.75">
      <c r="AJ1689" s="3"/>
      <c r="AK1689" s="3"/>
    </row>
    <row r="1690" spans="36:37" ht="12.75">
      <c r="AJ1690" s="3"/>
      <c r="AK1690" s="3"/>
    </row>
    <row r="1691" spans="36:37" ht="12.75">
      <c r="AJ1691" s="3"/>
      <c r="AK1691" s="3"/>
    </row>
    <row r="1692" spans="36:37" ht="12.75">
      <c r="AJ1692" s="3"/>
      <c r="AK1692" s="3"/>
    </row>
    <row r="1693" spans="36:37" ht="12.75">
      <c r="AJ1693" s="3"/>
      <c r="AK1693" s="3"/>
    </row>
    <row r="1694" spans="36:37" ht="12.75">
      <c r="AJ1694" s="3"/>
      <c r="AK1694" s="3"/>
    </row>
    <row r="1695" spans="36:37" ht="12.75">
      <c r="AJ1695" s="3"/>
      <c r="AK1695" s="3"/>
    </row>
    <row r="1696" spans="36:37" ht="12.75">
      <c r="AJ1696" s="3"/>
      <c r="AK1696" s="3"/>
    </row>
    <row r="1697" spans="36:37" ht="12.75">
      <c r="AJ1697" s="3"/>
      <c r="AK1697" s="3"/>
    </row>
    <row r="1698" spans="36:37" ht="12.75">
      <c r="AJ1698" s="3"/>
      <c r="AK1698" s="3"/>
    </row>
    <row r="1699" spans="36:37" ht="12.75">
      <c r="AJ1699" s="3"/>
      <c r="AK1699" s="3"/>
    </row>
    <row r="1700" spans="36:37" ht="12.75">
      <c r="AJ1700" s="3"/>
      <c r="AK1700" s="3"/>
    </row>
    <row r="1701" spans="36:37" ht="12.75">
      <c r="AJ1701" s="3"/>
      <c r="AK1701" s="3"/>
    </row>
    <row r="1702" spans="36:37" ht="12.75">
      <c r="AJ1702" s="3"/>
      <c r="AK1702" s="3"/>
    </row>
    <row r="1703" spans="36:37" ht="12.75">
      <c r="AJ1703" s="3"/>
      <c r="AK1703" s="3"/>
    </row>
    <row r="1704" spans="36:37" ht="12.75">
      <c r="AJ1704" s="3"/>
      <c r="AK1704" s="3"/>
    </row>
    <row r="1705" spans="36:37" ht="12.75">
      <c r="AJ1705" s="3"/>
      <c r="AK1705" s="3"/>
    </row>
    <row r="1706" spans="36:37" ht="12.75">
      <c r="AJ1706" s="3"/>
      <c r="AK1706" s="3"/>
    </row>
    <row r="1707" spans="36:37" ht="12.75">
      <c r="AJ1707" s="3"/>
      <c r="AK1707" s="3"/>
    </row>
    <row r="1708" spans="36:37" ht="12.75">
      <c r="AJ1708" s="3"/>
      <c r="AK1708" s="3"/>
    </row>
    <row r="1709" spans="36:37" ht="12.75">
      <c r="AJ1709" s="3"/>
      <c r="AK1709" s="3"/>
    </row>
    <row r="1710" spans="36:37" ht="12.75">
      <c r="AJ1710" s="3"/>
      <c r="AK1710" s="3"/>
    </row>
    <row r="1711" spans="36:37" ht="12.75">
      <c r="AJ1711" s="3"/>
      <c r="AK1711" s="3"/>
    </row>
    <row r="1712" spans="36:37" ht="12.75">
      <c r="AJ1712" s="3"/>
      <c r="AK1712" s="3"/>
    </row>
    <row r="1713" spans="36:37" ht="12.75">
      <c r="AJ1713" s="3"/>
      <c r="AK1713" s="3"/>
    </row>
    <row r="1714" spans="36:37" ht="12.75">
      <c r="AJ1714" s="3"/>
      <c r="AK1714" s="3"/>
    </row>
    <row r="1715" spans="36:37" ht="12.75">
      <c r="AJ1715" s="3"/>
      <c r="AK1715" s="3"/>
    </row>
    <row r="1716" spans="36:37" ht="12.75">
      <c r="AJ1716" s="3"/>
      <c r="AK1716" s="3"/>
    </row>
    <row r="1717" spans="36:37" ht="12.75">
      <c r="AJ1717" s="3"/>
      <c r="AK1717" s="3"/>
    </row>
    <row r="1718" spans="36:37" ht="12.75">
      <c r="AJ1718" s="3"/>
      <c r="AK1718" s="3"/>
    </row>
    <row r="1719" spans="36:37" ht="12.75">
      <c r="AJ1719" s="3"/>
      <c r="AK1719" s="3"/>
    </row>
    <row r="1720" spans="36:37" ht="12.75">
      <c r="AJ1720" s="3"/>
      <c r="AK1720" s="3"/>
    </row>
    <row r="1721" spans="36:37" ht="12.75">
      <c r="AJ1721" s="3"/>
      <c r="AK1721" s="3"/>
    </row>
    <row r="1722" spans="36:37" ht="12.75">
      <c r="AJ1722" s="3"/>
      <c r="AK1722" s="3"/>
    </row>
    <row r="1723" spans="36:37" ht="12.75">
      <c r="AJ1723" s="3"/>
      <c r="AK1723" s="3"/>
    </row>
    <row r="1724" spans="36:37" ht="12.75">
      <c r="AJ1724" s="3"/>
      <c r="AK1724" s="3"/>
    </row>
    <row r="1725" spans="36:37" ht="12.75">
      <c r="AJ1725" s="3"/>
      <c r="AK1725" s="3"/>
    </row>
    <row r="1726" spans="36:37" ht="12.75">
      <c r="AJ1726" s="3"/>
      <c r="AK1726" s="3"/>
    </row>
    <row r="1727" spans="36:37" ht="12.75">
      <c r="AJ1727" s="3"/>
      <c r="AK1727" s="3"/>
    </row>
    <row r="1728" spans="36:37" ht="12.75">
      <c r="AJ1728" s="3"/>
      <c r="AK1728" s="3"/>
    </row>
    <row r="1729" spans="36:37" ht="12.75">
      <c r="AJ1729" s="3"/>
      <c r="AK1729" s="3"/>
    </row>
    <row r="1730" spans="36:37" ht="12.75">
      <c r="AJ1730" s="3"/>
      <c r="AK1730" s="3"/>
    </row>
    <row r="1731" spans="36:37" ht="12.75">
      <c r="AJ1731" s="3"/>
      <c r="AK1731" s="3"/>
    </row>
    <row r="1732" spans="36:37" ht="12.75">
      <c r="AJ1732" s="3"/>
      <c r="AK1732" s="3"/>
    </row>
    <row r="1733" spans="36:37" ht="12.75">
      <c r="AJ1733" s="3"/>
      <c r="AK1733" s="3"/>
    </row>
    <row r="1734" spans="36:37" ht="12.75">
      <c r="AJ1734" s="3"/>
      <c r="AK1734" s="3"/>
    </row>
    <row r="1735" spans="36:37" ht="12.75">
      <c r="AJ1735" s="3"/>
      <c r="AK1735" s="3"/>
    </row>
    <row r="1736" spans="36:37" ht="12.75">
      <c r="AJ1736" s="3"/>
      <c r="AK1736" s="3"/>
    </row>
    <row r="1737" spans="36:37" ht="12.75">
      <c r="AJ1737" s="3"/>
      <c r="AK1737" s="3"/>
    </row>
    <row r="1738" spans="36:37" ht="12.75">
      <c r="AJ1738" s="3"/>
      <c r="AK1738" s="3"/>
    </row>
    <row r="1739" spans="36:37" ht="12.75">
      <c r="AJ1739" s="3"/>
      <c r="AK1739" s="3"/>
    </row>
    <row r="1740" spans="36:37" ht="12.75">
      <c r="AJ1740" s="3"/>
      <c r="AK1740" s="3"/>
    </row>
    <row r="1741" spans="36:37" ht="12.75">
      <c r="AJ1741" s="3"/>
      <c r="AK1741" s="3"/>
    </row>
    <row r="1742" spans="36:37" ht="12.75">
      <c r="AJ1742" s="3"/>
      <c r="AK1742" s="3"/>
    </row>
    <row r="1743" spans="36:37" ht="12.75">
      <c r="AJ1743" s="3"/>
      <c r="AK1743" s="3"/>
    </row>
    <row r="1744" spans="36:37" ht="12.75">
      <c r="AJ1744" s="3"/>
      <c r="AK1744" s="3"/>
    </row>
    <row r="1745" spans="36:37" ht="12.75">
      <c r="AJ1745" s="3"/>
      <c r="AK1745" s="3"/>
    </row>
    <row r="1746" spans="36:37" ht="12.75">
      <c r="AJ1746" s="3"/>
      <c r="AK1746" s="3"/>
    </row>
    <row r="1747" spans="36:37" ht="12.75">
      <c r="AJ1747" s="3"/>
      <c r="AK1747" s="3"/>
    </row>
    <row r="1748" spans="36:37" ht="12.75">
      <c r="AJ1748" s="3"/>
      <c r="AK1748" s="3"/>
    </row>
    <row r="1749" spans="36:37" ht="12.75">
      <c r="AJ1749" s="3"/>
      <c r="AK1749" s="3"/>
    </row>
    <row r="1750" spans="36:37" ht="12.75">
      <c r="AJ1750" s="3"/>
      <c r="AK1750" s="3"/>
    </row>
    <row r="1751" spans="36:37" ht="12.75">
      <c r="AJ1751" s="3"/>
      <c r="AK1751" s="3"/>
    </row>
    <row r="1752" spans="36:37" ht="12.75">
      <c r="AJ1752" s="3"/>
      <c r="AK1752" s="3"/>
    </row>
    <row r="1753" spans="36:37" ht="12.75">
      <c r="AJ1753" s="3"/>
      <c r="AK1753" s="3"/>
    </row>
    <row r="1754" spans="36:37" ht="12.75">
      <c r="AJ1754" s="3"/>
      <c r="AK1754" s="3"/>
    </row>
    <row r="1755" spans="36:37" ht="12.75">
      <c r="AJ1755" s="3"/>
      <c r="AK1755" s="3"/>
    </row>
    <row r="1756" spans="36:37" ht="12.75">
      <c r="AJ1756" s="3"/>
      <c r="AK1756" s="3"/>
    </row>
    <row r="1757" spans="36:37" ht="12.75">
      <c r="AJ1757" s="3"/>
      <c r="AK1757" s="3"/>
    </row>
    <row r="1758" spans="36:37" ht="12.75">
      <c r="AJ1758" s="3"/>
      <c r="AK1758" s="3"/>
    </row>
    <row r="1759" spans="36:37" ht="12.75">
      <c r="AJ1759" s="3"/>
      <c r="AK1759" s="3"/>
    </row>
    <row r="1760" spans="36:37" ht="12.75">
      <c r="AJ1760" s="3"/>
      <c r="AK1760" s="3"/>
    </row>
    <row r="1761" spans="36:37" ht="12.75">
      <c r="AJ1761" s="3"/>
      <c r="AK1761" s="3"/>
    </row>
    <row r="1762" spans="36:37" ht="12.75">
      <c r="AJ1762" s="3"/>
      <c r="AK1762" s="3"/>
    </row>
    <row r="1763" spans="36:37" ht="12.75">
      <c r="AJ1763" s="3"/>
      <c r="AK1763" s="3"/>
    </row>
    <row r="1764" spans="36:37" ht="12.75">
      <c r="AJ1764" s="3"/>
      <c r="AK1764" s="3"/>
    </row>
    <row r="1765" spans="36:37" ht="12.75">
      <c r="AJ1765" s="3"/>
      <c r="AK1765" s="3"/>
    </row>
    <row r="1766" spans="36:37" ht="12.75">
      <c r="AJ1766" s="3"/>
      <c r="AK1766" s="3"/>
    </row>
    <row r="1767" spans="36:37" ht="12.75">
      <c r="AJ1767" s="3"/>
      <c r="AK1767" s="3"/>
    </row>
    <row r="1768" spans="36:37" ht="12.75">
      <c r="AJ1768" s="3"/>
      <c r="AK1768" s="3"/>
    </row>
    <row r="1769" spans="36:37" ht="12.75">
      <c r="AJ1769" s="3"/>
      <c r="AK1769" s="3"/>
    </row>
    <row r="1770" spans="36:37" ht="12.75">
      <c r="AJ1770" s="3"/>
      <c r="AK1770" s="3"/>
    </row>
    <row r="1771" spans="36:37" ht="12.75">
      <c r="AJ1771" s="3"/>
      <c r="AK1771" s="3"/>
    </row>
    <row r="1772" spans="36:37" ht="12.75">
      <c r="AJ1772" s="3"/>
      <c r="AK1772" s="3"/>
    </row>
    <row r="1773" spans="36:37" ht="12.75">
      <c r="AJ1773" s="3"/>
      <c r="AK1773" s="3"/>
    </row>
    <row r="1774" spans="36:37" ht="12.75">
      <c r="AJ1774" s="3"/>
      <c r="AK1774" s="3"/>
    </row>
    <row r="1775" spans="36:37" ht="12.75">
      <c r="AJ1775" s="3"/>
      <c r="AK1775" s="3"/>
    </row>
    <row r="1776" spans="36:37" ht="12.75">
      <c r="AJ1776" s="3"/>
      <c r="AK1776" s="3"/>
    </row>
    <row r="1777" spans="36:37" ht="12.75">
      <c r="AJ1777" s="3"/>
      <c r="AK1777" s="3"/>
    </row>
    <row r="1778" spans="36:37" ht="12.75">
      <c r="AJ1778" s="3"/>
      <c r="AK1778" s="3"/>
    </row>
    <row r="1779" spans="36:37" ht="12.75">
      <c r="AJ1779" s="3"/>
      <c r="AK1779" s="3"/>
    </row>
    <row r="1780" spans="36:37" ht="12.75">
      <c r="AJ1780" s="3"/>
      <c r="AK1780" s="3"/>
    </row>
    <row r="1781" spans="36:37" ht="12.75">
      <c r="AJ1781" s="3"/>
      <c r="AK1781" s="3"/>
    </row>
    <row r="1782" spans="36:37" ht="12.75">
      <c r="AJ1782" s="3"/>
      <c r="AK1782" s="3"/>
    </row>
    <row r="1783" spans="36:37" ht="12.75">
      <c r="AJ1783" s="3"/>
      <c r="AK1783" s="3"/>
    </row>
    <row r="1784" spans="36:37" ht="12.75">
      <c r="AJ1784" s="3"/>
      <c r="AK1784" s="3"/>
    </row>
    <row r="1785" spans="36:37" ht="12.75">
      <c r="AJ1785" s="3"/>
      <c r="AK1785" s="3"/>
    </row>
    <row r="1786" spans="36:37" ht="12.75">
      <c r="AJ1786" s="3"/>
      <c r="AK1786" s="3"/>
    </row>
    <row r="1787" spans="36:37" ht="12.75">
      <c r="AJ1787" s="3"/>
      <c r="AK1787" s="3"/>
    </row>
    <row r="1788" spans="36:37" ht="12.75">
      <c r="AJ1788" s="3"/>
      <c r="AK1788" s="3"/>
    </row>
    <row r="1789" spans="36:37" ht="12.75">
      <c r="AJ1789" s="3"/>
      <c r="AK1789" s="3"/>
    </row>
    <row r="1790" spans="36:37" ht="12.75">
      <c r="AJ1790" s="3"/>
      <c r="AK1790" s="3"/>
    </row>
    <row r="1791" spans="36:37" ht="12.75">
      <c r="AJ1791" s="3"/>
      <c r="AK1791" s="3"/>
    </row>
    <row r="1792" spans="36:37" ht="12.75">
      <c r="AJ1792" s="3"/>
      <c r="AK1792" s="3"/>
    </row>
    <row r="1793" spans="36:37" ht="12.75">
      <c r="AJ1793" s="3"/>
      <c r="AK1793" s="3"/>
    </row>
    <row r="1794" spans="36:37" ht="12.75">
      <c r="AJ1794" s="3"/>
      <c r="AK1794" s="3"/>
    </row>
    <row r="1795" spans="36:37" ht="12.75">
      <c r="AJ1795" s="3"/>
      <c r="AK1795" s="3"/>
    </row>
    <row r="1796" spans="36:37" ht="12.75">
      <c r="AJ1796" s="3"/>
      <c r="AK1796" s="3"/>
    </row>
    <row r="1797" spans="36:37" ht="12.75">
      <c r="AJ1797" s="3"/>
      <c r="AK1797" s="3"/>
    </row>
    <row r="1798" spans="36:37" ht="12.75">
      <c r="AJ1798" s="3"/>
      <c r="AK1798" s="3"/>
    </row>
    <row r="1799" spans="36:37" ht="12.75">
      <c r="AJ1799" s="3"/>
      <c r="AK1799" s="3"/>
    </row>
    <row r="1800" spans="36:37" ht="12.75">
      <c r="AJ1800" s="3"/>
      <c r="AK1800" s="3"/>
    </row>
    <row r="1801" spans="36:37" ht="12.75">
      <c r="AJ1801" s="3"/>
      <c r="AK1801" s="3"/>
    </row>
    <row r="1802" spans="36:37" ht="12.75">
      <c r="AJ1802" s="3"/>
      <c r="AK1802" s="3"/>
    </row>
    <row r="1803" spans="36:37" ht="12.75">
      <c r="AJ1803" s="3"/>
      <c r="AK1803" s="3"/>
    </row>
    <row r="1804" spans="36:37" ht="12.75">
      <c r="AJ1804" s="3"/>
      <c r="AK1804" s="3"/>
    </row>
    <row r="1805" spans="36:37" ht="12.75">
      <c r="AJ1805" s="3"/>
      <c r="AK1805" s="3"/>
    </row>
    <row r="1806" spans="36:37" ht="12.75">
      <c r="AJ1806" s="3"/>
      <c r="AK1806" s="3"/>
    </row>
    <row r="1807" spans="36:37" ht="12.75">
      <c r="AJ1807" s="3"/>
      <c r="AK1807" s="3"/>
    </row>
    <row r="1808" spans="36:37" ht="12.75">
      <c r="AJ1808" s="3"/>
      <c r="AK1808" s="3"/>
    </row>
    <row r="1809" spans="36:37" ht="12.75">
      <c r="AJ1809" s="3"/>
      <c r="AK1809" s="3"/>
    </row>
    <row r="1810" spans="36:37" ht="12.75">
      <c r="AJ1810" s="3"/>
      <c r="AK1810" s="3"/>
    </row>
    <row r="1811" spans="36:37" ht="12.75">
      <c r="AJ1811" s="3"/>
      <c r="AK1811" s="3"/>
    </row>
    <row r="1812" spans="36:37" ht="12.75">
      <c r="AJ1812" s="3"/>
      <c r="AK1812" s="3"/>
    </row>
    <row r="1813" spans="36:37" ht="12.75">
      <c r="AJ1813" s="3"/>
      <c r="AK1813" s="3"/>
    </row>
    <row r="1814" spans="36:37" ht="12.75">
      <c r="AJ1814" s="3"/>
      <c r="AK1814" s="3"/>
    </row>
    <row r="1815" spans="36:37" ht="12.75">
      <c r="AJ1815" s="3"/>
      <c r="AK1815" s="3"/>
    </row>
    <row r="1816" spans="36:37" ht="12.75">
      <c r="AJ1816" s="3"/>
      <c r="AK1816" s="3"/>
    </row>
    <row r="1817" spans="36:37" ht="12.75">
      <c r="AJ1817" s="3"/>
      <c r="AK1817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8">
      <selection activeCell="B60" sqref="B60"/>
    </sheetView>
  </sheetViews>
  <sheetFormatPr defaultColWidth="9.140625" defaultRowHeight="12.75"/>
  <cols>
    <col min="1" max="1" width="5.7109375" style="0" customWidth="1"/>
    <col min="2" max="2" width="21.28125" style="0" customWidth="1"/>
  </cols>
  <sheetData>
    <row r="1" spans="1:5" ht="12.75">
      <c r="A1" s="73" t="s">
        <v>193</v>
      </c>
      <c r="B1" s="73"/>
      <c r="C1" s="73"/>
      <c r="D1" s="73"/>
      <c r="E1" s="73"/>
    </row>
    <row r="3" ht="12.75">
      <c r="A3" t="s">
        <v>196</v>
      </c>
    </row>
    <row r="4" ht="12.75">
      <c r="A4" t="s">
        <v>209</v>
      </c>
    </row>
    <row r="5" ht="12.75">
      <c r="A5" t="s">
        <v>266</v>
      </c>
    </row>
    <row r="6" ht="12.75">
      <c r="A6" t="s">
        <v>279</v>
      </c>
    </row>
    <row r="9" spans="1:5" ht="12.75">
      <c r="A9" s="2" t="s">
        <v>198</v>
      </c>
      <c r="B9" s="2"/>
      <c r="C9" s="2"/>
      <c r="D9" s="2"/>
      <c r="E9" s="2"/>
    </row>
    <row r="11" ht="12.75">
      <c r="A11" t="s">
        <v>165</v>
      </c>
    </row>
    <row r="12" spans="2:3" ht="12.75">
      <c r="B12" t="s">
        <v>164</v>
      </c>
      <c r="C12" t="s">
        <v>282</v>
      </c>
    </row>
    <row r="13" spans="2:3" ht="12.75">
      <c r="B13" t="s">
        <v>70</v>
      </c>
      <c r="C13" t="s">
        <v>199</v>
      </c>
    </row>
    <row r="14" ht="12.75">
      <c r="C14" t="s">
        <v>200</v>
      </c>
    </row>
    <row r="15" spans="1:3" ht="12.75">
      <c r="A15" t="s">
        <v>32</v>
      </c>
      <c r="C15" t="s">
        <v>201</v>
      </c>
    </row>
    <row r="16" spans="1:3" ht="12.75">
      <c r="A16" t="s">
        <v>202</v>
      </c>
      <c r="C16" t="s">
        <v>203</v>
      </c>
    </row>
    <row r="17" spans="1:3" ht="12.75">
      <c r="A17" t="s">
        <v>66</v>
      </c>
      <c r="C17" t="s">
        <v>204</v>
      </c>
    </row>
    <row r="18" ht="12.75">
      <c r="C18" t="s">
        <v>205</v>
      </c>
    </row>
    <row r="19" spans="1:3" ht="12.75">
      <c r="A19" t="s">
        <v>206</v>
      </c>
      <c r="C19" t="s">
        <v>207</v>
      </c>
    </row>
    <row r="20" spans="1:3" ht="12.75">
      <c r="A20" t="s">
        <v>12</v>
      </c>
      <c r="C20" t="s">
        <v>208</v>
      </c>
    </row>
    <row r="21" spans="1:3" ht="12.75">
      <c r="A21" t="s">
        <v>14</v>
      </c>
      <c r="C21" t="s">
        <v>210</v>
      </c>
    </row>
    <row r="22" spans="1:3" ht="12.75">
      <c r="A22" t="s">
        <v>184</v>
      </c>
      <c r="C22" t="s">
        <v>211</v>
      </c>
    </row>
    <row r="23" ht="12.75">
      <c r="C23" t="s">
        <v>212</v>
      </c>
    </row>
    <row r="24" spans="1:3" ht="12.75">
      <c r="A24" t="s">
        <v>214</v>
      </c>
      <c r="C24" t="s">
        <v>215</v>
      </c>
    </row>
    <row r="25" spans="1:3" ht="12.75">
      <c r="A25" t="s">
        <v>216</v>
      </c>
      <c r="C25" t="s">
        <v>217</v>
      </c>
    </row>
    <row r="26" spans="2:4" ht="12.75">
      <c r="B26" t="s">
        <v>40</v>
      </c>
      <c r="C26" t="s">
        <v>222</v>
      </c>
      <c r="D26" t="s">
        <v>223</v>
      </c>
    </row>
    <row r="27" spans="2:4" ht="12.75">
      <c r="B27" t="s">
        <v>30</v>
      </c>
      <c r="C27" t="s">
        <v>224</v>
      </c>
      <c r="D27" t="s">
        <v>225</v>
      </c>
    </row>
    <row r="28" spans="2:4" ht="12.75">
      <c r="B28" t="s">
        <v>218</v>
      </c>
      <c r="C28" t="s">
        <v>221</v>
      </c>
      <c r="D28" t="s">
        <v>220</v>
      </c>
    </row>
    <row r="29" spans="2:4" ht="12.75">
      <c r="B29" t="s">
        <v>26</v>
      </c>
      <c r="C29" t="s">
        <v>226</v>
      </c>
      <c r="D29" t="s">
        <v>227</v>
      </c>
    </row>
    <row r="30" spans="2:4" ht="12.75">
      <c r="B30" t="s">
        <v>78</v>
      </c>
      <c r="C30" t="s">
        <v>78</v>
      </c>
      <c r="D30" t="s">
        <v>228</v>
      </c>
    </row>
    <row r="31" spans="2:4" ht="12.75">
      <c r="B31" t="s">
        <v>76</v>
      </c>
      <c r="C31" t="s">
        <v>230</v>
      </c>
      <c r="D31" t="s">
        <v>229</v>
      </c>
    </row>
    <row r="32" spans="1:3" ht="12.75">
      <c r="A32" t="s">
        <v>80</v>
      </c>
      <c r="C32" t="s">
        <v>231</v>
      </c>
    </row>
    <row r="33" ht="12.75">
      <c r="C33" t="s">
        <v>267</v>
      </c>
    </row>
    <row r="34" spans="1:3" ht="12.75">
      <c r="A34" t="s">
        <v>219</v>
      </c>
      <c r="C34" t="s">
        <v>232</v>
      </c>
    </row>
    <row r="35" spans="1:3" ht="12.75">
      <c r="A35" t="s">
        <v>233</v>
      </c>
      <c r="C35" t="s">
        <v>234</v>
      </c>
    </row>
    <row r="36" spans="1:3" ht="12.75">
      <c r="A36" t="s">
        <v>235</v>
      </c>
      <c r="C36" t="s">
        <v>236</v>
      </c>
    </row>
    <row r="37" spans="1:3" ht="12.75">
      <c r="A37" t="s">
        <v>237</v>
      </c>
      <c r="C37" t="s">
        <v>247</v>
      </c>
    </row>
    <row r="38" spans="1:11" ht="12.75">
      <c r="A38" t="s">
        <v>238</v>
      </c>
      <c r="B38" s="74"/>
      <c r="C38" s="74" t="s">
        <v>248</v>
      </c>
      <c r="D38" s="74"/>
      <c r="E38" s="74"/>
      <c r="F38" s="74"/>
      <c r="G38" s="74"/>
      <c r="H38" s="74"/>
      <c r="I38" s="74"/>
      <c r="J38" s="74"/>
      <c r="K38" s="74"/>
    </row>
    <row r="39" spans="2:11" ht="12.75">
      <c r="B39" s="74"/>
      <c r="C39" s="74" t="s">
        <v>268</v>
      </c>
      <c r="D39" s="74"/>
      <c r="E39" s="74"/>
      <c r="F39" s="74"/>
      <c r="G39" s="74"/>
      <c r="H39" s="74"/>
      <c r="I39" s="74"/>
      <c r="J39" s="74"/>
      <c r="K39" s="74"/>
    </row>
    <row r="40" spans="1:11" ht="12.75">
      <c r="A40" t="s">
        <v>239</v>
      </c>
      <c r="B40" s="74"/>
      <c r="C40" t="s">
        <v>254</v>
      </c>
      <c r="D40" s="74"/>
      <c r="E40" s="74"/>
      <c r="F40" s="74"/>
      <c r="G40" s="74"/>
      <c r="H40" s="74"/>
      <c r="I40" s="74"/>
      <c r="J40" s="74"/>
      <c r="K40" s="74"/>
    </row>
    <row r="41" spans="1:3" ht="12.75">
      <c r="A41" t="s">
        <v>111</v>
      </c>
      <c r="C41" t="s">
        <v>240</v>
      </c>
    </row>
    <row r="42" ht="12.75">
      <c r="C42" t="s">
        <v>241</v>
      </c>
    </row>
    <row r="43" ht="12.75">
      <c r="C43" t="s">
        <v>242</v>
      </c>
    </row>
    <row r="44" spans="1:3" ht="12.75">
      <c r="A44" t="s">
        <v>158</v>
      </c>
      <c r="C44" t="s">
        <v>243</v>
      </c>
    </row>
    <row r="45" spans="1:3" ht="12.75">
      <c r="A45" t="s">
        <v>244</v>
      </c>
      <c r="C45" t="s">
        <v>246</v>
      </c>
    </row>
    <row r="46" ht="12.75">
      <c r="A46" t="s">
        <v>245</v>
      </c>
    </row>
    <row r="47" ht="12.75">
      <c r="C47" t="s">
        <v>249</v>
      </c>
    </row>
    <row r="48" spans="1:3" ht="12.75">
      <c r="A48" t="s">
        <v>5</v>
      </c>
      <c r="C48" t="s">
        <v>251</v>
      </c>
    </row>
    <row r="49" spans="1:3" ht="12.75">
      <c r="A49" t="s">
        <v>252</v>
      </c>
      <c r="C49" t="s">
        <v>269</v>
      </c>
    </row>
    <row r="50" spans="1:3" ht="12.75">
      <c r="A50" t="s">
        <v>253</v>
      </c>
      <c r="C50" t="s">
        <v>255</v>
      </c>
    </row>
    <row r="51" ht="12.75">
      <c r="A51" t="s">
        <v>109</v>
      </c>
    </row>
    <row r="52" spans="2:3" ht="12.75">
      <c r="B52" t="s">
        <v>257</v>
      </c>
      <c r="C52" t="s">
        <v>256</v>
      </c>
    </row>
    <row r="53" spans="2:3" ht="12.75">
      <c r="B53" t="s">
        <v>258</v>
      </c>
      <c r="C53" t="s">
        <v>261</v>
      </c>
    </row>
    <row r="54" spans="2:3" ht="12.75">
      <c r="B54" t="s">
        <v>259</v>
      </c>
      <c r="C54" t="s">
        <v>262</v>
      </c>
    </row>
    <row r="55" spans="2:13" ht="12.75">
      <c r="B55" s="74" t="s">
        <v>260</v>
      </c>
      <c r="C55" t="s">
        <v>263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3" ht="12.75">
      <c r="A56" t="s">
        <v>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 ht="12.7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61" spans="2:6" ht="12.75">
      <c r="B61" s="74"/>
      <c r="C61" s="74"/>
      <c r="D61" s="74"/>
      <c r="E61" s="74"/>
      <c r="F61" s="74"/>
    </row>
    <row r="62" spans="2:6" ht="12.75">
      <c r="B62" s="74"/>
      <c r="C62" s="74"/>
      <c r="D62" s="74"/>
      <c r="E62" s="74"/>
      <c r="F62" s="74"/>
    </row>
    <row r="63" spans="2:6" ht="12.75">
      <c r="B63" s="74"/>
      <c r="C63" s="74"/>
      <c r="D63" s="74"/>
      <c r="E63" s="74"/>
      <c r="F63" s="74"/>
    </row>
    <row r="69" spans="1:7" ht="12.75">
      <c r="A69" s="3"/>
      <c r="B69" s="3"/>
      <c r="C69" s="3"/>
      <c r="D69" s="3"/>
      <c r="E69" s="3"/>
      <c r="F69" s="3"/>
      <c r="G69" s="3"/>
    </row>
    <row r="76" ht="12.75">
      <c r="C76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2.75"/>
  <sheetData>
    <row r="1" ht="18">
      <c r="A1" s="1" t="s">
        <v>287</v>
      </c>
    </row>
    <row r="4" ht="15.75">
      <c r="A4" s="92" t="s">
        <v>286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L4" sqref="L4"/>
    </sheetView>
  </sheetViews>
  <sheetFormatPr defaultColWidth="9.140625" defaultRowHeight="12.75"/>
  <cols>
    <col min="1" max="1" width="15.7109375" style="0" customWidth="1"/>
  </cols>
  <sheetData>
    <row r="1" spans="1:9" ht="18">
      <c r="A1" s="96" t="s">
        <v>307</v>
      </c>
      <c r="I1" s="96" t="s">
        <v>324</v>
      </c>
    </row>
    <row r="2" ht="12.75">
      <c r="I2" t="s">
        <v>330</v>
      </c>
    </row>
    <row r="3" spans="1:9" ht="12.75">
      <c r="A3" t="s">
        <v>9</v>
      </c>
      <c r="B3" t="s">
        <v>308</v>
      </c>
      <c r="I3" t="s">
        <v>308</v>
      </c>
    </row>
    <row r="4" spans="1:12" ht="12.75">
      <c r="A4" t="s">
        <v>5</v>
      </c>
      <c r="B4" t="s">
        <v>11</v>
      </c>
      <c r="C4" t="s">
        <v>316</v>
      </c>
      <c r="D4" t="s">
        <v>95</v>
      </c>
      <c r="E4" t="s">
        <v>335</v>
      </c>
      <c r="I4" t="s">
        <v>175</v>
      </c>
      <c r="J4" t="s">
        <v>11</v>
      </c>
      <c r="K4" t="s">
        <v>87</v>
      </c>
      <c r="L4" t="s">
        <v>335</v>
      </c>
    </row>
    <row r="5" spans="2:12" ht="12.75">
      <c r="B5" t="s">
        <v>315</v>
      </c>
      <c r="C5" t="s">
        <v>320</v>
      </c>
      <c r="D5" t="s">
        <v>321</v>
      </c>
      <c r="E5" t="s">
        <v>336</v>
      </c>
      <c r="I5" t="s">
        <v>325</v>
      </c>
      <c r="J5" t="s">
        <v>331</v>
      </c>
      <c r="K5" t="s">
        <v>332</v>
      </c>
      <c r="L5" t="s">
        <v>337</v>
      </c>
    </row>
    <row r="6" spans="1:12" ht="12.75">
      <c r="A6" t="s">
        <v>310</v>
      </c>
      <c r="B6">
        <v>12.4</v>
      </c>
      <c r="C6">
        <v>10.94</v>
      </c>
      <c r="D6">
        <v>11.65</v>
      </c>
      <c r="I6">
        <v>156.8</v>
      </c>
      <c r="J6">
        <v>44796</v>
      </c>
      <c r="K6" s="97"/>
      <c r="L6" s="98"/>
    </row>
    <row r="7" spans="1:12" ht="12.75">
      <c r="A7" t="s">
        <v>309</v>
      </c>
      <c r="B7">
        <v>10.8</v>
      </c>
      <c r="E7">
        <v>8.3</v>
      </c>
      <c r="I7" s="97">
        <f>153.8/$I$6</f>
        <v>0.9808673469387755</v>
      </c>
      <c r="J7" s="97">
        <f>41505/J6</f>
        <v>0.9265336190731315</v>
      </c>
      <c r="K7" s="97">
        <f>1/1.153</f>
        <v>0.8673026886383347</v>
      </c>
      <c r="L7" s="98"/>
    </row>
    <row r="8" spans="1:12" ht="12.75">
      <c r="A8" t="s">
        <v>311</v>
      </c>
      <c r="B8">
        <v>14.1</v>
      </c>
      <c r="I8" s="97">
        <f>159.6/I6</f>
        <v>1.0178571428571428</v>
      </c>
      <c r="J8" s="97">
        <f>55593/J6</f>
        <v>1.2410259844628986</v>
      </c>
      <c r="K8" s="97"/>
      <c r="L8" s="98"/>
    </row>
    <row r="9" spans="1:12" ht="12.75">
      <c r="A9" t="s">
        <v>312</v>
      </c>
      <c r="B9">
        <v>11.5</v>
      </c>
      <c r="I9" s="97"/>
      <c r="J9" s="97">
        <f>48270/J6</f>
        <v>1.0775515671042057</v>
      </c>
      <c r="K9" s="97">
        <f>1/1.132</f>
        <v>0.88339222614841</v>
      </c>
      <c r="L9" s="98"/>
    </row>
    <row r="10" spans="1:12" ht="12.75">
      <c r="A10" t="s">
        <v>313</v>
      </c>
      <c r="B10">
        <v>12</v>
      </c>
      <c r="I10" s="97"/>
      <c r="J10" s="97">
        <f>41294/J6</f>
        <v>0.9218233770872399</v>
      </c>
      <c r="K10" s="97"/>
      <c r="L10" s="98"/>
    </row>
    <row r="11" spans="1:12" ht="12.75">
      <c r="A11" t="s">
        <v>314</v>
      </c>
      <c r="B11">
        <v>9.4</v>
      </c>
      <c r="I11" s="97"/>
      <c r="J11" s="97">
        <f>34910/J6</f>
        <v>0.7793106527368515</v>
      </c>
      <c r="K11" s="97"/>
      <c r="L11" s="98"/>
    </row>
    <row r="12" spans="1:12" ht="12.75">
      <c r="A12" t="s">
        <v>326</v>
      </c>
      <c r="I12" s="97">
        <f>134.6/I6</f>
        <v>0.8584183673469387</v>
      </c>
      <c r="J12" s="97"/>
      <c r="K12" s="97">
        <f>1/1.19</f>
        <v>0.8403361344537815</v>
      </c>
      <c r="L12" s="98"/>
    </row>
    <row r="13" spans="1:12" ht="12.75">
      <c r="A13" t="s">
        <v>327</v>
      </c>
      <c r="I13" s="97">
        <f>148.2/I6</f>
        <v>0.9451530612244896</v>
      </c>
      <c r="J13" s="97"/>
      <c r="K13" s="97"/>
      <c r="L13" s="98"/>
    </row>
    <row r="14" spans="1:12" ht="12.75">
      <c r="A14" t="s">
        <v>113</v>
      </c>
      <c r="E14">
        <v>5.8</v>
      </c>
      <c r="I14" s="97">
        <f>133.4/I6</f>
        <v>0.8507653061224489</v>
      </c>
      <c r="J14" s="97"/>
      <c r="K14" s="97"/>
      <c r="L14" s="98">
        <f>122.1*325/98</f>
        <v>404.9234693877551</v>
      </c>
    </row>
    <row r="15" spans="1:12" ht="12.75">
      <c r="A15" t="s">
        <v>328</v>
      </c>
      <c r="I15" s="97">
        <f>182/I6</f>
        <v>1.1607142857142856</v>
      </c>
      <c r="J15" s="97"/>
      <c r="K15" s="97"/>
      <c r="L15" s="98"/>
    </row>
    <row r="16" spans="1:12" ht="12.75">
      <c r="A16" t="s">
        <v>329</v>
      </c>
      <c r="I16" s="97">
        <f>185.5/156.8</f>
        <v>1.1830357142857142</v>
      </c>
      <c r="J16" s="97"/>
      <c r="K16" s="97"/>
      <c r="L16" s="98"/>
    </row>
    <row r="17" spans="1:12" ht="12.75">
      <c r="A17" t="s">
        <v>333</v>
      </c>
      <c r="I17" s="97"/>
      <c r="J17" s="97"/>
      <c r="K17" s="97">
        <f>1/1.212</f>
        <v>0.8250825082508251</v>
      </c>
      <c r="L17" s="98"/>
    </row>
    <row r="18" spans="1:12" ht="12.75">
      <c r="A18" t="s">
        <v>334</v>
      </c>
      <c r="I18" s="97"/>
      <c r="J18" s="97"/>
      <c r="K18" s="97">
        <f>1/1.143</f>
        <v>0.8748906386701663</v>
      </c>
      <c r="L18" s="98"/>
    </row>
    <row r="19" spans="1:12" ht="12.75">
      <c r="A19" t="s">
        <v>338</v>
      </c>
      <c r="E19">
        <v>8.1</v>
      </c>
      <c r="I19" s="97"/>
      <c r="J19" s="97"/>
      <c r="K19" s="97"/>
      <c r="L19" s="98">
        <f>72.5*325/98</f>
        <v>240.43367346938774</v>
      </c>
    </row>
    <row r="20" spans="1:12" ht="12.75">
      <c r="A20" t="s">
        <v>339</v>
      </c>
      <c r="E20">
        <v>9.8</v>
      </c>
      <c r="I20" s="97"/>
      <c r="J20" s="97"/>
      <c r="K20" s="97"/>
      <c r="L20" s="98">
        <f>64*325/98</f>
        <v>212.24489795918367</v>
      </c>
    </row>
    <row r="21" spans="9:12" ht="12.75">
      <c r="I21" s="97"/>
      <c r="J21" s="97"/>
      <c r="K21" s="97"/>
      <c r="L21" s="98"/>
    </row>
    <row r="22" spans="1:13" ht="12.75">
      <c r="A22" t="s">
        <v>317</v>
      </c>
      <c r="C22">
        <v>11.2</v>
      </c>
      <c r="I22" s="97"/>
      <c r="J22" s="97"/>
      <c r="L22" s="98"/>
      <c r="M22" s="97"/>
    </row>
    <row r="23" spans="1:13" ht="12.75">
      <c r="A23" t="s">
        <v>318</v>
      </c>
      <c r="C23">
        <v>12.7</v>
      </c>
      <c r="E23">
        <v>9.7</v>
      </c>
      <c r="I23" s="97"/>
      <c r="J23" s="97"/>
      <c r="L23" s="98">
        <f>133.2*325/98</f>
        <v>441.73469387755097</v>
      </c>
      <c r="M23" s="97"/>
    </row>
    <row r="24" spans="1:13" ht="12.75">
      <c r="A24" t="s">
        <v>319</v>
      </c>
      <c r="C24">
        <v>10.9</v>
      </c>
      <c r="I24" s="97"/>
      <c r="J24" s="97"/>
      <c r="L24" s="98"/>
      <c r="M24" s="97"/>
    </row>
    <row r="25" spans="9:13" ht="12.75">
      <c r="I25" s="97"/>
      <c r="J25" s="97"/>
      <c r="L25" s="98"/>
      <c r="M25" s="97"/>
    </row>
    <row r="26" spans="9:13" ht="12.75">
      <c r="I26" s="97"/>
      <c r="J26" s="97"/>
      <c r="L26" s="98"/>
      <c r="M26" s="97"/>
    </row>
    <row r="27" spans="1:13" ht="12.75">
      <c r="A27" t="s">
        <v>322</v>
      </c>
      <c r="D27">
        <v>12.12</v>
      </c>
      <c r="I27" s="97"/>
      <c r="J27" s="97"/>
      <c r="L27" s="98"/>
      <c r="M27" s="97"/>
    </row>
    <row r="28" spans="1:13" ht="12.75">
      <c r="A28" t="s">
        <v>323</v>
      </c>
      <c r="D28">
        <v>11.13</v>
      </c>
      <c r="I28" s="97"/>
      <c r="J28" s="97"/>
      <c r="L28" s="98"/>
      <c r="M28" s="97"/>
    </row>
    <row r="29" spans="10:13" ht="12.75">
      <c r="J29" s="97"/>
      <c r="L29" s="98"/>
      <c r="M29" s="97"/>
    </row>
    <row r="30" spans="12:13" ht="12.75">
      <c r="L30" s="98"/>
      <c r="M30" s="97"/>
    </row>
    <row r="31" ht="12.75">
      <c r="M31" s="97"/>
    </row>
    <row r="32" ht="12.75">
      <c r="M32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5" sqref="A25"/>
    </sheetView>
  </sheetViews>
  <sheetFormatPr defaultColWidth="9.140625" defaultRowHeight="12.75"/>
  <sheetData>
    <row r="1" ht="18">
      <c r="B1" s="1" t="s">
        <v>192</v>
      </c>
    </row>
    <row r="3" spans="10:11" ht="12.75">
      <c r="J3">
        <v>4</v>
      </c>
      <c r="K3">
        <v>4</v>
      </c>
    </row>
    <row r="4" spans="10:11" ht="12.75">
      <c r="J4">
        <v>16</v>
      </c>
      <c r="K4">
        <v>16</v>
      </c>
    </row>
    <row r="26" spans="1:6" ht="12.75">
      <c r="A26" s="2" t="s">
        <v>193</v>
      </c>
      <c r="B26" s="2"/>
      <c r="C26" s="2"/>
      <c r="D26" s="2"/>
      <c r="E26" s="2"/>
      <c r="F26" s="2"/>
    </row>
    <row r="27" ht="12.75">
      <c r="A27" t="s">
        <v>194</v>
      </c>
    </row>
    <row r="28" ht="12.75">
      <c r="A28" t="s">
        <v>195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Hendricks</dc:creator>
  <cp:keywords/>
  <dc:description/>
  <cp:lastModifiedBy>Lutz Hendricks</cp:lastModifiedBy>
  <cp:lastPrinted>1997-02-11T20:29:58Z</cp:lastPrinted>
  <dcterms:created xsi:type="dcterms:W3CDTF">1997-02-09T17:05:13Z</dcterms:created>
  <dcterms:modified xsi:type="dcterms:W3CDTF">2001-03-08T21:43:59Z</dcterms:modified>
  <cp:category/>
  <cp:version/>
  <cp:contentType/>
  <cp:contentStatus/>
</cp:coreProperties>
</file>